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юкс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'Люкс'!$A$1:$J$69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User6</author>
    <author>Иван Петров6</author>
  </authors>
  <commentList>
    <comment ref="D15" authorId="0">
      <text>
        <r>
          <rPr>
            <b/>
            <sz val="8"/>
            <color indexed="10"/>
            <rFont val="Tahoma"/>
            <family val="2"/>
          </rPr>
          <t xml:space="preserve">Выбор исполнения серии:
</t>
        </r>
        <r>
          <rPr>
            <sz val="8"/>
            <rFont val="Tahoma"/>
            <family val="2"/>
          </rPr>
          <t>Стандарт
Лак/патина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color indexed="10"/>
            <rFont val="Tahoma"/>
            <family val="2"/>
          </rPr>
          <t>Цвета мебели АНТИК</t>
        </r>
        <r>
          <rPr>
            <b/>
            <sz val="8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Клен </t>
        </r>
        <r>
          <rPr>
            <sz val="10"/>
            <rFont val="Tahoma"/>
            <family val="2"/>
          </rPr>
          <t xml:space="preserve">(светлый)
</t>
        </r>
        <r>
          <rPr>
            <b/>
            <sz val="10"/>
            <rFont val="Tahoma"/>
            <family val="2"/>
          </rPr>
          <t xml:space="preserve">Орех </t>
        </r>
        <r>
          <rPr>
            <sz val="10"/>
            <rFont val="Tahoma"/>
            <family val="2"/>
          </rPr>
          <t>(темный)</t>
        </r>
        <r>
          <rPr>
            <sz val="10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Выбор петель:</t>
        </r>
        <r>
          <rPr>
            <sz val="9"/>
            <rFont val="Tahoma"/>
            <family val="2"/>
          </rPr>
          <t xml:space="preserve">
Стандарт
С доводчиком</t>
        </r>
      </text>
    </comment>
    <comment ref="C21" authorId="1">
      <text>
        <r>
          <t/>
        </r>
      </text>
    </comment>
    <comment ref="C26" authorId="1">
      <text>
        <r>
          <rPr>
            <sz val="9"/>
            <rFont val="Tahoma"/>
            <family val="2"/>
          </rPr>
          <t xml:space="preserve">
</t>
        </r>
      </text>
    </comment>
    <comment ref="C28" authorId="2">
      <text>
        <r>
          <t/>
        </r>
      </text>
    </comment>
    <comment ref="C29" authorId="2">
      <text>
        <r>
          <t/>
        </r>
      </text>
    </comment>
    <comment ref="C30" authorId="2">
      <text>
        <r>
          <t/>
        </r>
      </text>
    </comment>
    <comment ref="C31" authorId="2">
      <text>
        <r>
          <t/>
        </r>
      </text>
    </comment>
    <comment ref="C32" authorId="2">
      <text>
        <r>
          <t/>
        </r>
      </text>
    </comment>
    <comment ref="C36" authorId="2">
      <text>
        <r>
          <t/>
        </r>
      </text>
    </comment>
    <comment ref="C38" authorId="2">
      <text>
        <r>
          <t/>
        </r>
      </text>
    </comment>
    <comment ref="C40" authorId="2">
      <text>
        <r>
          <t/>
        </r>
      </text>
    </comment>
    <comment ref="C41" authorId="2">
      <text>
        <r>
          <t/>
        </r>
      </text>
    </comment>
    <comment ref="C42" authorId="2">
      <text>
        <r>
          <t/>
        </r>
      </text>
    </comment>
    <comment ref="C47" authorId="2">
      <text>
        <r>
          <t/>
        </r>
      </text>
    </comment>
    <comment ref="C48" authorId="2">
      <text>
        <r>
          <t/>
        </r>
      </text>
    </comment>
    <comment ref="C49" authorId="2">
      <text>
        <r>
          <t/>
        </r>
      </text>
    </comment>
    <comment ref="C51" authorId="2">
      <text>
        <r>
          <t/>
        </r>
      </text>
    </comment>
    <comment ref="C53" authorId="2">
      <text>
        <r>
          <t/>
        </r>
      </text>
    </comment>
  </commentList>
</comments>
</file>

<file path=xl/sharedStrings.xml><?xml version="1.0" encoding="utf-8"?>
<sst xmlns="http://schemas.openxmlformats.org/spreadsheetml/2006/main" count="123" uniqueCount="108">
  <si>
    <t>Приложение №1 от _______________</t>
  </si>
  <si>
    <t>к договору № _____ от ___________</t>
  </si>
  <si>
    <t xml:space="preserve">СПЕЦИФИКАЦИЯ МЕБЕЛИ </t>
  </si>
  <si>
    <t>127411, г. Москва, Дмитровское шоссе, 110</t>
  </si>
  <si>
    <t>тел.: +7 (495)780-38-39/43</t>
  </si>
  <si>
    <t xml:space="preserve"> www.mebel-land.com</t>
  </si>
  <si>
    <t>e-mail: info@mebel-land.com</t>
  </si>
  <si>
    <t>Стандарт</t>
  </si>
  <si>
    <t>Лак/патина</t>
  </si>
  <si>
    <t>ОРЕХ</t>
  </si>
  <si>
    <t>Скрытого монтажа</t>
  </si>
  <si>
    <t>Серия мебели:</t>
  </si>
  <si>
    <t>ЛЮКС</t>
  </si>
  <si>
    <t>Вариант исполнения:</t>
  </si>
  <si>
    <t xml:space="preserve">Цвет мебели: </t>
  </si>
  <si>
    <t xml:space="preserve"> ОРЕХ</t>
  </si>
  <si>
    <t>Напрвляющие:</t>
  </si>
  <si>
    <t>Шариковые с доводчиками</t>
  </si>
  <si>
    <t>Петли:</t>
  </si>
  <si>
    <t>Петли с доводчиком</t>
  </si>
  <si>
    <t>№</t>
  </si>
  <si>
    <t>Рисунок</t>
  </si>
  <si>
    <t>Наименование</t>
  </si>
  <si>
    <t>Габаритные размеры,
ШхГхВ, см</t>
  </si>
  <si>
    <t>Кол-во</t>
  </si>
  <si>
    <t>Цена со скидкой, руб.</t>
  </si>
  <si>
    <t>Сумма, руб.</t>
  </si>
  <si>
    <t>ОБЩИЙ объем, м куб.</t>
  </si>
  <si>
    <t>ОБЩИЙ вес, кг</t>
  </si>
  <si>
    <t>объем ед. изделия, м куб.</t>
  </si>
  <si>
    <t>вес ед. изделия, кг</t>
  </si>
  <si>
    <t>Панель для тумбы прикроватной</t>
  </si>
  <si>
    <t>67*90</t>
  </si>
  <si>
    <t xml:space="preserve">Панель для кровати (90) </t>
  </si>
  <si>
    <t>110*90</t>
  </si>
  <si>
    <t>Панель для кровати двуспальной (160)</t>
  </si>
  <si>
    <t>180*90</t>
  </si>
  <si>
    <t>Панель для 2х кроватей 90 и 2х тумб (из двух частей)</t>
  </si>
  <si>
    <t>320*90</t>
  </si>
  <si>
    <t>Панель боковая</t>
  </si>
  <si>
    <t>210*90</t>
  </si>
  <si>
    <t>Кровать без изголовья</t>
  </si>
  <si>
    <t>96*206</t>
  </si>
  <si>
    <t>166*206</t>
  </si>
  <si>
    <r>
      <rPr>
        <sz val="12"/>
        <rFont val="Times New Roman"/>
        <family val="1"/>
      </rPr>
      <t xml:space="preserve">Тумба прикроватая 1 ящ.
</t>
    </r>
    <r>
      <rPr>
        <sz val="12"/>
        <color indexed="63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>в Лаке с патиной + стекло</t>
    </r>
  </si>
  <si>
    <t>52*44*50</t>
  </si>
  <si>
    <r>
      <rPr>
        <sz val="12"/>
        <rFont val="Times New Roman"/>
        <family val="1"/>
      </rPr>
      <t xml:space="preserve">Тумба прикроватая 2 ящ
</t>
    </r>
    <r>
      <rPr>
        <sz val="12"/>
        <color indexed="63"/>
        <rFont val="Times New Roman"/>
        <family val="1"/>
      </rPr>
      <t xml:space="preserve"> </t>
    </r>
    <r>
      <rPr>
        <sz val="12"/>
        <color indexed="60"/>
        <rFont val="Times New Roman"/>
        <family val="1"/>
      </rPr>
      <t>в Лаке с патиной + стекло</t>
    </r>
  </si>
  <si>
    <t>Зеркало в раме</t>
  </si>
  <si>
    <t>60*80</t>
  </si>
  <si>
    <r>
      <rPr>
        <sz val="12"/>
        <rFont val="Times New Roman"/>
        <family val="1"/>
      </rPr>
      <t>Стол туалетный</t>
    </r>
    <r>
      <rPr>
        <sz val="12"/>
        <color indexed="63"/>
        <rFont val="Times New Roman"/>
        <family val="1"/>
      </rPr>
      <t xml:space="preserve">
</t>
    </r>
    <r>
      <rPr>
        <sz val="12"/>
        <color indexed="60"/>
        <rFont val="Times New Roman"/>
        <family val="1"/>
      </rPr>
      <t xml:space="preserve"> в Лаке с патиной + стекло</t>
    </r>
  </si>
  <si>
    <t>80*44*74</t>
  </si>
  <si>
    <r>
      <rPr>
        <sz val="12"/>
        <rFont val="Times New Roman"/>
        <family val="1"/>
      </rPr>
      <t>Тумба под Бар (60)</t>
    </r>
    <r>
      <rPr>
        <sz val="12"/>
        <color indexed="63"/>
        <rFont val="Times New Roman"/>
        <family val="1"/>
      </rPr>
      <t xml:space="preserve">
 </t>
    </r>
    <r>
      <rPr>
        <sz val="12"/>
        <color indexed="60"/>
        <rFont val="Times New Roman"/>
        <family val="1"/>
      </rPr>
      <t>в Лаке с патиной + стекло</t>
    </r>
  </si>
  <si>
    <t>60*56*74</t>
  </si>
  <si>
    <r>
      <rPr>
        <sz val="12"/>
        <rFont val="Times New Roman"/>
        <family val="1"/>
      </rPr>
      <t>комодс 3-мя ящиками</t>
    </r>
    <r>
      <rPr>
        <sz val="12"/>
        <color indexed="63"/>
        <rFont val="Times New Roman"/>
        <family val="1"/>
      </rPr>
      <t xml:space="preserve">
</t>
    </r>
    <r>
      <rPr>
        <sz val="12"/>
        <color indexed="60"/>
        <rFont val="Times New Roman"/>
        <family val="1"/>
      </rPr>
      <t>в Лаке с патиной + стекло</t>
    </r>
  </si>
  <si>
    <t>90*44*74</t>
  </si>
  <si>
    <r>
      <rPr>
        <sz val="12"/>
        <rFont val="Times New Roman"/>
        <family val="1"/>
      </rPr>
      <t xml:space="preserve">Греденция  с тумбой-бар (60)
</t>
    </r>
    <r>
      <rPr>
        <sz val="12"/>
        <color indexed="60"/>
        <rFont val="Times New Roman"/>
        <family val="1"/>
      </rPr>
      <t>в Лаке с патиной + стекло</t>
    </r>
  </si>
  <si>
    <r>
      <t>198*56</t>
    </r>
    <r>
      <rPr>
        <sz val="12"/>
        <rFont val="Times New Roman"/>
        <family val="1"/>
      </rPr>
      <t>*74</t>
    </r>
  </si>
  <si>
    <r>
      <rPr>
        <sz val="12"/>
        <rFont val="Times New Roman"/>
        <family val="1"/>
      </rPr>
      <t>Стол бар (60)</t>
    </r>
    <r>
      <rPr>
        <sz val="12"/>
        <color indexed="63"/>
        <rFont val="Times New Roman"/>
        <family val="1"/>
      </rPr>
      <t xml:space="preserve">
</t>
    </r>
    <r>
      <rPr>
        <sz val="12"/>
        <color indexed="53"/>
        <rFont val="Times New Roman"/>
        <family val="1"/>
      </rPr>
      <t>в Лаке с патиной + стекло</t>
    </r>
  </si>
  <si>
    <t>140*56*74</t>
  </si>
  <si>
    <r>
      <rPr>
        <sz val="12"/>
        <rFont val="Times New Roman"/>
        <family val="1"/>
      </rPr>
      <t>Стол письменный 1 ящ. и дверь</t>
    </r>
    <r>
      <rPr>
        <sz val="12"/>
        <color indexed="63"/>
        <rFont val="Times New Roman"/>
        <family val="1"/>
      </rPr>
      <t xml:space="preserve">  
</t>
    </r>
    <r>
      <rPr>
        <sz val="12"/>
        <color indexed="60"/>
        <rFont val="Times New Roman"/>
        <family val="1"/>
      </rPr>
      <t>в Лаке с патиной + стекло</t>
    </r>
  </si>
  <si>
    <r>
      <rPr>
        <b/>
        <sz val="12"/>
        <rFont val="Times New Roman"/>
        <family val="1"/>
      </rPr>
      <t>127</t>
    </r>
    <r>
      <rPr>
        <sz val="12"/>
        <rFont val="Times New Roman"/>
        <family val="1"/>
      </rPr>
      <t xml:space="preserve">*56*74 </t>
    </r>
  </si>
  <si>
    <r>
      <rPr>
        <sz val="12"/>
        <rFont val="Times New Roman"/>
        <family val="1"/>
      </rPr>
      <t xml:space="preserve">Стол письменный с 3 ящ. </t>
    </r>
    <r>
      <rPr>
        <sz val="12"/>
        <color indexed="63"/>
        <rFont val="Times New Roman"/>
        <family val="1"/>
      </rPr>
      <t xml:space="preserve">
</t>
    </r>
    <r>
      <rPr>
        <sz val="12"/>
        <color indexed="60"/>
        <rFont val="Times New Roman"/>
        <family val="1"/>
      </rPr>
      <t>в Лаке с патиной + стекло</t>
    </r>
  </si>
  <si>
    <r>
      <rPr>
        <sz val="12"/>
        <rFont val="Times New Roman"/>
        <family val="1"/>
      </rPr>
      <t xml:space="preserve">Стол журнальный 
</t>
    </r>
    <r>
      <rPr>
        <sz val="12"/>
        <color indexed="60"/>
        <rFont val="Times New Roman"/>
        <family val="1"/>
      </rPr>
      <t>в Лаке с патиной + стекло</t>
    </r>
  </si>
  <si>
    <t>75*53*45</t>
  </si>
  <si>
    <t>Стол журнальный круглый</t>
  </si>
  <si>
    <t>Д-70 н-45</t>
  </si>
  <si>
    <t>Багажница</t>
  </si>
  <si>
    <t>90*56*74</t>
  </si>
  <si>
    <t>Вешалка ЛДСП</t>
  </si>
  <si>
    <t>90*127</t>
  </si>
  <si>
    <t>40*127</t>
  </si>
  <si>
    <t>50*127</t>
  </si>
  <si>
    <t>Витрина (стекло с 3-х сторон,полки и задняя стенка зеркало)</t>
  </si>
  <si>
    <t>45(12)*44(6)*208</t>
  </si>
  <si>
    <t>Буфет (двери: верх-стекло / низ глухой)</t>
  </si>
  <si>
    <t>60(12)*44(6)*208</t>
  </si>
  <si>
    <r>
      <rPr>
        <sz val="12"/>
        <rFont val="Times New Roman"/>
        <family val="1"/>
      </rPr>
      <t>Шкаф-гардероб</t>
    </r>
    <r>
      <rPr>
        <sz val="12"/>
        <color indexed="63"/>
        <rFont val="Times New Roman"/>
        <family val="1"/>
      </rPr>
      <t xml:space="preserve"> </t>
    </r>
    <r>
      <rPr>
        <sz val="12"/>
        <color indexed="62"/>
        <rFont val="Times New Roman"/>
        <family val="1"/>
      </rPr>
      <t>(выдвижные вешалки</t>
    </r>
    <r>
      <rPr>
        <sz val="12"/>
        <color indexed="63"/>
        <rFont val="Times New Roman"/>
        <family val="1"/>
      </rPr>
      <t>)</t>
    </r>
  </si>
  <si>
    <t>90(12)*44(6)*208</t>
  </si>
  <si>
    <r>
      <rPr>
        <sz val="12"/>
        <rFont val="Times New Roman"/>
        <family val="1"/>
      </rPr>
      <t>Шкаф-гардероб</t>
    </r>
    <r>
      <rPr>
        <sz val="12"/>
        <color indexed="63"/>
        <rFont val="Times New Roman"/>
        <family val="1"/>
      </rPr>
      <t xml:space="preserve"> (</t>
    </r>
    <r>
      <rPr>
        <sz val="12"/>
        <color indexed="60"/>
        <rFont val="Times New Roman"/>
        <family val="1"/>
      </rPr>
      <t>штанга</t>
    </r>
    <r>
      <rPr>
        <sz val="12"/>
        <color indexed="63"/>
        <rFont val="Times New Roman"/>
        <family val="1"/>
      </rPr>
      <t>)</t>
    </r>
  </si>
  <si>
    <t>90(12)*56(6)*208</t>
  </si>
  <si>
    <r>
      <rPr>
        <sz val="12"/>
        <rFont val="Times New Roman"/>
        <family val="1"/>
      </rPr>
      <t xml:space="preserve">Шкаф гардероб-полки </t>
    </r>
    <r>
      <rPr>
        <sz val="12"/>
        <color indexed="63"/>
        <rFont val="Times New Roman"/>
        <family val="1"/>
      </rPr>
      <t>(</t>
    </r>
    <r>
      <rPr>
        <sz val="12"/>
        <color indexed="62"/>
        <rFont val="Times New Roman"/>
        <family val="1"/>
      </rPr>
      <t>выдвижная вешалка</t>
    </r>
    <r>
      <rPr>
        <sz val="12"/>
        <color indexed="63"/>
        <rFont val="Times New Roman"/>
        <family val="1"/>
      </rPr>
      <t>)</t>
    </r>
  </si>
  <si>
    <r>
      <rPr>
        <sz val="12"/>
        <rFont val="Times New Roman"/>
        <family val="1"/>
      </rPr>
      <t xml:space="preserve">Шкаф гардероб-полки </t>
    </r>
    <r>
      <rPr>
        <sz val="12"/>
        <color indexed="63"/>
        <rFont val="Times New Roman"/>
        <family val="1"/>
      </rPr>
      <t>(</t>
    </r>
    <r>
      <rPr>
        <sz val="12"/>
        <color indexed="60"/>
        <rFont val="Times New Roman"/>
        <family val="1"/>
      </rPr>
      <t>штанга</t>
    </r>
    <r>
      <rPr>
        <sz val="12"/>
        <color indexed="63"/>
        <rFont val="Times New Roman"/>
        <family val="1"/>
      </rPr>
      <t>)</t>
    </r>
  </si>
  <si>
    <r>
      <rPr>
        <sz val="12"/>
        <rFont val="Times New Roman"/>
        <family val="1"/>
      </rPr>
      <t xml:space="preserve">Шкаф-купе </t>
    </r>
    <r>
      <rPr>
        <sz val="12"/>
        <color indexed="63"/>
        <rFont val="Times New Roman"/>
        <family val="1"/>
      </rPr>
      <t>(</t>
    </r>
    <r>
      <rPr>
        <sz val="12"/>
        <color indexed="18"/>
        <rFont val="Times New Roman"/>
        <family val="1"/>
      </rPr>
      <t>алюминиевая рама, система Versal,двери глухие</t>
    </r>
    <r>
      <rPr>
        <sz val="12"/>
        <color indexed="63"/>
        <rFont val="Times New Roman"/>
        <family val="1"/>
      </rPr>
      <t>) патина только на карнизе и цоколе.</t>
    </r>
  </si>
  <si>
    <t>120(12)*60(6)*208</t>
  </si>
  <si>
    <r>
      <rPr>
        <sz val="12"/>
        <rFont val="Times New Roman"/>
        <family val="1"/>
      </rPr>
      <t>Шкаф-купе</t>
    </r>
    <r>
      <rPr>
        <sz val="12"/>
        <color indexed="63"/>
        <rFont val="Times New Roman"/>
        <family val="1"/>
      </rPr>
      <t xml:space="preserve"> (</t>
    </r>
    <r>
      <rPr>
        <sz val="12"/>
        <color indexed="60"/>
        <rFont val="Times New Roman"/>
        <family val="1"/>
      </rPr>
      <t xml:space="preserve">алюминиевая рама, система Versal, дверь глухая и дверь с </t>
    </r>
    <r>
      <rPr>
        <b/>
        <sz val="12"/>
        <color indexed="60"/>
        <rFont val="Times New Roman"/>
        <family val="1"/>
      </rPr>
      <t>зеркалом</t>
    </r>
    <r>
      <rPr>
        <sz val="12"/>
        <color indexed="63"/>
        <rFont val="Times New Roman"/>
        <family val="1"/>
      </rPr>
      <t xml:space="preserve">) </t>
    </r>
    <r>
      <rPr>
        <sz val="12"/>
        <rFont val="Times New Roman"/>
        <family val="1"/>
      </rPr>
      <t>патина только на карнизе и цоколе.</t>
    </r>
  </si>
  <si>
    <t>ИТОГО:</t>
  </si>
  <si>
    <t>От 300 000 руб -</t>
  </si>
  <si>
    <t>м куб</t>
  </si>
  <si>
    <t>кг</t>
  </si>
  <si>
    <t>От 600 000 руб -</t>
  </si>
  <si>
    <t>От 900 000 руб -</t>
  </si>
  <si>
    <t>От 1 200 000 руб -</t>
  </si>
  <si>
    <t>Вес ориентировочный  (кг):</t>
  </si>
  <si>
    <t>Объем ориентировочный (м3):</t>
  </si>
  <si>
    <t>Доставка:</t>
  </si>
  <si>
    <t>Подъем/разнос:</t>
  </si>
  <si>
    <t>Общая стоимость Товара по настоящей спецификации составляет :</t>
  </si>
  <si>
    <t>Продавец</t>
  </si>
  <si>
    <t>Покупатель</t>
  </si>
  <si>
    <t>________________________</t>
  </si>
  <si>
    <t>Генеральный директор</t>
  </si>
  <si>
    <t>Сборка:</t>
  </si>
  <si>
    <t>от этажа, есть ли лифт</t>
  </si>
  <si>
    <t>от объема, веса и адреса доставки</t>
  </si>
  <si>
    <t>Цена без скидки, руб.</t>
  </si>
  <si>
    <t>Система скидок:</t>
  </si>
  <si>
    <t>прайс 20.09.2022</t>
  </si>
  <si>
    <r>
      <t xml:space="preserve">Цены актуальны </t>
    </r>
    <r>
      <rPr>
        <sz val="12"/>
        <color indexed="10"/>
        <rFont val="Times New Roman"/>
        <family val="1"/>
      </rPr>
      <t xml:space="preserve">до </t>
    </r>
    <r>
      <rPr>
        <u val="single"/>
        <sz val="12"/>
        <color indexed="10"/>
        <rFont val="Times New Roman"/>
        <family val="1"/>
      </rPr>
      <t>31 октября 2022</t>
    </r>
    <r>
      <rPr>
        <u val="single"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В дальнейшем возможен пересчет стоимости, в связи с постоянным ростом цен на материалы и комплектующие.
Цены указаны с учетом самовывоза со склада Продавца в г.Москва.
Продавец может организовать доставку Товара за счет средств Покупателя. Стоимость доставки рассчитывается исходя из объема и веса заказанного товара. 
Продавец может организовать сборку мебели за счет средств Покупателя. Стоимость сборки мебели составляет 10% от стоимости мебели без учета скидки. 
Дата сборки мебели согласовывается на дату готовности Товара к отгрузке.
Срок изготовления Товара составляет 40 - 50 рабочих дней с момента поступления авансового платежа на расчетный счет Продавца и после подписания спецификации мебели с указанием описания, цвета, количества и размеров мебели.
(Срок изготовления Товара  зависит от срока поставки материала и согласовывается при оформлении заказа)
Предоплата 70%, доплата 30% после уведомления о готовности Товара к отгрузке. Отгрузка строго после 100% оплаты.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</si>
</sst>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"/>
    <numFmt numFmtId="166" formatCode="#,##0.00&quot;р.&quot;"/>
    <numFmt numFmtId="167" formatCode="#,##0.0"/>
    <numFmt numFmtId="168" formatCode="0.00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5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7.5"/>
      <name val="Arial"/>
      <family val="2"/>
    </font>
    <font>
      <i/>
      <sz val="10"/>
      <name val="Arial"/>
      <family val="2"/>
    </font>
    <font>
      <b/>
      <sz val="10"/>
      <color indexed="49"/>
      <name val="Times New Roman"/>
      <family val="1"/>
    </font>
    <font>
      <sz val="11"/>
      <color indexed="55"/>
      <name val="Arial"/>
      <family val="2"/>
    </font>
    <font>
      <sz val="11"/>
      <name val="Arial"/>
      <family val="2"/>
    </font>
    <font>
      <u val="single"/>
      <sz val="9.75"/>
      <color indexed="12"/>
      <name val="Times New Roman"/>
      <family val="1"/>
    </font>
    <font>
      <b/>
      <i/>
      <u val="single"/>
      <sz val="11"/>
      <color indexed="12"/>
      <name val="Arial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i/>
      <sz val="9"/>
      <color indexed="54"/>
      <name val="Times New Roman"/>
      <family val="1"/>
    </font>
    <font>
      <b/>
      <sz val="7.5"/>
      <color indexed="8"/>
      <name val="Arial"/>
      <family val="2"/>
    </font>
    <font>
      <b/>
      <i/>
      <sz val="7.5"/>
      <name val="Arial"/>
      <family val="2"/>
    </font>
    <font>
      <sz val="11"/>
      <color indexed="62"/>
      <name val="Times New Roman"/>
      <family val="1"/>
    </font>
    <font>
      <b/>
      <sz val="10"/>
      <name val="Calibri"/>
      <family val="2"/>
    </font>
    <font>
      <b/>
      <sz val="12"/>
      <color indexed="53"/>
      <name val="Calibri"/>
      <family val="2"/>
    </font>
    <font>
      <b/>
      <i/>
      <sz val="12"/>
      <color indexed="10"/>
      <name val="ISOCTEUR"/>
      <family val="3"/>
    </font>
    <font>
      <sz val="11"/>
      <color indexed="9"/>
      <name val="Times New Roman"/>
      <family val="1"/>
    </font>
    <font>
      <sz val="7.5"/>
      <name val="Arial"/>
      <family val="2"/>
    </font>
    <font>
      <b/>
      <i/>
      <sz val="10"/>
      <color indexed="57"/>
      <name val="Arial"/>
      <family val="2"/>
    </font>
    <font>
      <b/>
      <i/>
      <sz val="7.5"/>
      <color indexed="55"/>
      <name val="Arial"/>
      <family val="2"/>
    </font>
    <font>
      <b/>
      <sz val="14"/>
      <name val="Arial Cyr"/>
      <family val="0"/>
    </font>
    <font>
      <b/>
      <sz val="12"/>
      <name val="Calibri"/>
      <family val="2"/>
    </font>
    <font>
      <b/>
      <i/>
      <sz val="11"/>
      <color indexed="9"/>
      <name val="Magneto"/>
      <family val="5"/>
    </font>
    <font>
      <sz val="12"/>
      <name val="Magneto"/>
      <family val="5"/>
    </font>
    <font>
      <sz val="10"/>
      <name val="ISOCTEUR"/>
      <family val="3"/>
    </font>
    <font>
      <b/>
      <i/>
      <sz val="12"/>
      <color indexed="60"/>
      <name val="Magneto"/>
      <family val="5"/>
    </font>
    <font>
      <b/>
      <i/>
      <sz val="12"/>
      <color indexed="54"/>
      <name val="Magneto"/>
      <family val="5"/>
    </font>
    <font>
      <b/>
      <i/>
      <sz val="7.5"/>
      <color indexed="8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0"/>
      <name val="ISOCTEUR"/>
      <family val="3"/>
    </font>
    <font>
      <b/>
      <sz val="1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23"/>
      <name val="Arial"/>
      <family val="2"/>
    </font>
    <font>
      <b/>
      <sz val="11"/>
      <name val="Times New Roman"/>
      <family val="1"/>
    </font>
    <font>
      <sz val="7.5"/>
      <color indexed="22"/>
      <name val="Arial"/>
      <family val="2"/>
    </font>
    <font>
      <sz val="12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2"/>
      <color indexed="18"/>
      <name val="Times New Roman"/>
      <family val="1"/>
    </font>
    <font>
      <b/>
      <sz val="12"/>
      <color indexed="60"/>
      <name val="Times New Roman"/>
      <family val="1"/>
    </font>
    <font>
      <sz val="7.5"/>
      <name val="Times New Roman"/>
      <family val="1"/>
    </font>
    <font>
      <b/>
      <sz val="9"/>
      <color indexed="57"/>
      <name val="Courier New"/>
      <family val="3"/>
    </font>
    <font>
      <b/>
      <sz val="10"/>
      <color indexed="2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Times New Roman"/>
      <family val="1"/>
    </font>
    <font>
      <b/>
      <sz val="10"/>
      <color indexed="23"/>
      <name val="Arial Narrow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name val="Century Gothic"/>
      <family val="2"/>
    </font>
    <font>
      <b/>
      <sz val="11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0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1"/>
      <color theme="0" tint="-0.24997000396251678"/>
      <name val="Arial"/>
      <family val="2"/>
    </font>
    <font>
      <sz val="11"/>
      <color theme="0" tint="-0.24997000396251678"/>
      <name val="Times New Roman"/>
      <family val="1"/>
    </font>
    <font>
      <b/>
      <sz val="14"/>
      <color theme="8" tint="-0.24997000396251678"/>
      <name val="Times New Roman"/>
      <family val="1"/>
    </font>
    <font>
      <b/>
      <i/>
      <sz val="9"/>
      <color theme="3" tint="0.39998000860214233"/>
      <name val="Times New Roman"/>
      <family val="1"/>
    </font>
    <font>
      <sz val="11"/>
      <color theme="8" tint="-0.24997000396251678"/>
      <name val="Times New Roman"/>
      <family val="1"/>
    </font>
    <font>
      <b/>
      <sz val="12"/>
      <color theme="5" tint="-0.24997000396251678"/>
      <name val="Calibri"/>
      <family val="2"/>
    </font>
    <font>
      <b/>
      <i/>
      <sz val="12"/>
      <color rgb="FFFF0000"/>
      <name val="ISOCTEUR"/>
      <family val="3"/>
    </font>
    <font>
      <sz val="11"/>
      <color theme="0"/>
      <name val="Times New Roman"/>
      <family val="1"/>
    </font>
    <font>
      <b/>
      <i/>
      <sz val="10"/>
      <color theme="9" tint="-0.24997000396251678"/>
      <name val="Arial"/>
      <family val="2"/>
    </font>
    <font>
      <b/>
      <i/>
      <sz val="7.5"/>
      <color theme="0" tint="-0.24997000396251678"/>
      <name val="Arial"/>
      <family val="2"/>
    </font>
    <font>
      <b/>
      <i/>
      <sz val="11"/>
      <color theme="0"/>
      <name val="Magneto"/>
      <family val="5"/>
    </font>
    <font>
      <sz val="11"/>
      <color theme="0" tint="-0.3499799966812134"/>
      <name val="Times New Roman"/>
      <family val="1"/>
    </font>
    <font>
      <b/>
      <i/>
      <sz val="12"/>
      <color rgb="FFC00000"/>
      <name val="Magneto"/>
      <family val="5"/>
    </font>
    <font>
      <b/>
      <i/>
      <sz val="12"/>
      <color theme="3" tint="0.39998000860214233"/>
      <name val="Magneto"/>
      <family val="5"/>
    </font>
    <font>
      <b/>
      <i/>
      <sz val="10"/>
      <color rgb="FFC00000"/>
      <name val="Arial"/>
      <family val="2"/>
    </font>
    <font>
      <b/>
      <i/>
      <sz val="10"/>
      <color rgb="FFFF0000"/>
      <name val="ISOCTEUR"/>
      <family val="3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6" tint="-0.24997000396251678"/>
      <name val="Arial"/>
      <family val="2"/>
    </font>
    <font>
      <sz val="7.5"/>
      <color theme="0" tint="-0.1499900072813034"/>
      <name val="Arial"/>
      <family val="2"/>
    </font>
    <font>
      <sz val="12"/>
      <color theme="1" tint="0.34999001026153564"/>
      <name val="Times New Roman"/>
      <family val="1"/>
    </font>
    <font>
      <sz val="12"/>
      <color theme="1"/>
      <name val="Times New Roman"/>
      <family val="1"/>
    </font>
    <font>
      <b/>
      <sz val="9"/>
      <color theme="9" tint="-0.4999699890613556"/>
      <name val="Courier New"/>
      <family val="3"/>
    </font>
    <font>
      <b/>
      <sz val="10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6" tint="-0.24997000396251678"/>
      <name val="Arial Narrow"/>
      <family val="2"/>
    </font>
    <font>
      <b/>
      <sz val="10"/>
      <color theme="6" tint="-0.4999699890613556"/>
      <name val="Arial"/>
      <family val="2"/>
    </font>
    <font>
      <b/>
      <sz val="8"/>
      <color theme="6" tint="-0.4999699890613556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165" fontId="5" fillId="0" borderId="0" applyFill="0" applyBorder="0">
      <alignment horizontal="right" vertical="center"/>
      <protection/>
    </xf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1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7" fillId="29" borderId="0" applyBorder="0">
      <alignment horizontal="center" vertical="center"/>
      <protection/>
    </xf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Fill="0" applyBorder="0">
      <alignment horizontal="center" vertical="center"/>
      <protection/>
    </xf>
    <xf numFmtId="0" fontId="109" fillId="0" borderId="10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3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64" fontId="112" fillId="0" borderId="0" xfId="0" applyNumberFormat="1" applyFont="1" applyFill="1" applyBorder="1" applyAlignment="1">
      <alignment vertical="top"/>
    </xf>
    <xf numFmtId="0" fontId="112" fillId="0" borderId="0" xfId="0" applyFont="1" applyFill="1" applyBorder="1" applyAlignment="1">
      <alignment vertical="top"/>
    </xf>
    <xf numFmtId="0" fontId="112" fillId="0" borderId="0" xfId="0" applyFont="1" applyBorder="1" applyAlignment="1">
      <alignment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1" fontId="6" fillId="0" borderId="0" xfId="33" applyNumberFormat="1" applyFont="1" applyFill="1" applyAlignment="1">
      <alignment horizontal="center" vertical="center"/>
      <protection/>
    </xf>
    <xf numFmtId="0" fontId="113" fillId="0" borderId="0" xfId="0" applyFont="1" applyFill="1" applyAlignment="1">
      <alignment horizontal="right" vertical="center"/>
    </xf>
    <xf numFmtId="1" fontId="6" fillId="0" borderId="0" xfId="33" applyNumberFormat="1" applyFont="1" applyFill="1" applyAlignment="1">
      <alignment horizontal="left" vertical="center"/>
      <protection/>
    </xf>
    <xf numFmtId="164" fontId="114" fillId="0" borderId="0" xfId="0" applyNumberFormat="1" applyFont="1" applyFill="1" applyBorder="1" applyAlignment="1">
      <alignment vertical="top"/>
    </xf>
    <xf numFmtId="0" fontId="11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0" xfId="43" applyFont="1" applyFill="1" applyBorder="1" applyAlignment="1" applyProtection="1">
      <alignment vertical="top"/>
      <protection/>
    </xf>
    <xf numFmtId="0" fontId="9" fillId="0" borderId="0" xfId="0" applyFont="1" applyFill="1" applyBorder="1" applyAlignment="1">
      <alignment horizontal="left" vertical="top"/>
    </xf>
    <xf numFmtId="0" fontId="113" fillId="0" borderId="0" xfId="43" applyFont="1" applyFill="1" applyAlignment="1" applyProtection="1">
      <alignment horizontal="right" vertical="center"/>
      <protection/>
    </xf>
    <xf numFmtId="164" fontId="115" fillId="0" borderId="0" xfId="0" applyNumberFormat="1" applyFont="1" applyFill="1" applyBorder="1" applyAlignment="1">
      <alignment vertical="top"/>
    </xf>
    <xf numFmtId="0" fontId="1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16" fillId="0" borderId="0" xfId="0" applyFont="1" applyFill="1" applyBorder="1" applyAlignment="1">
      <alignment vertical="top"/>
    </xf>
    <xf numFmtId="0" fontId="117" fillId="0" borderId="0" xfId="0" applyFont="1" applyFill="1" applyAlignment="1">
      <alignment horizontal="right" vertical="center"/>
    </xf>
    <xf numFmtId="0" fontId="16" fillId="0" borderId="0" xfId="58" applyFont="1" applyFill="1" applyBorder="1" applyAlignment="1">
      <alignment horizontal="center" vertical="center" wrapText="1"/>
    </xf>
    <xf numFmtId="0" fontId="17" fillId="0" borderId="0" xfId="52" applyFont="1" applyFill="1" applyBorder="1" applyAlignment="1">
      <alignment horizontal="left" vertical="center"/>
      <protection/>
    </xf>
    <xf numFmtId="0" fontId="118" fillId="0" borderId="0" xfId="0" applyFont="1" applyFill="1" applyBorder="1" applyAlignment="1">
      <alignment horizontal="right" vertical="top"/>
    </xf>
    <xf numFmtId="0" fontId="19" fillId="0" borderId="0" xfId="43" applyFont="1" applyFill="1" applyBorder="1" applyAlignment="1" applyProtection="1">
      <alignment horizontal="center" vertical="top"/>
      <protection/>
    </xf>
    <xf numFmtId="14" fontId="119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120" fillId="0" borderId="0" xfId="43" applyFont="1" applyFill="1" applyBorder="1" applyAlignment="1" applyProtection="1">
      <alignment horizontal="left" vertical="center"/>
      <protection/>
    </xf>
    <xf numFmtId="0" fontId="121" fillId="0" borderId="0" xfId="0" applyFont="1" applyFill="1" applyBorder="1" applyAlignment="1">
      <alignment horizontal="center" vertical="center"/>
    </xf>
    <xf numFmtId="0" fontId="122" fillId="0" borderId="0" xfId="60" applyFont="1" applyFill="1" applyBorder="1" applyAlignment="1">
      <alignment horizontal="right" vertical="center" wrapText="1"/>
      <protection/>
    </xf>
    <xf numFmtId="164" fontId="123" fillId="0" borderId="0" xfId="33" applyNumberFormat="1" applyFont="1" applyFill="1" applyBorder="1" applyAlignment="1">
      <alignment horizontal="left" vertical="center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7" fillId="0" borderId="0" xfId="43" applyFont="1" applyFill="1" applyBorder="1" applyAlignment="1" applyProtection="1">
      <alignment horizontal="right" vertical="top"/>
      <protection/>
    </xf>
    <xf numFmtId="0" fontId="27" fillId="0" borderId="11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0" fillId="0" borderId="0" xfId="43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>
      <alignment horizontal="center" vertical="center"/>
    </xf>
    <xf numFmtId="0" fontId="126" fillId="0" borderId="0" xfId="43" applyFont="1" applyFill="1" applyBorder="1" applyAlignment="1" applyProtection="1">
      <alignment horizontal="right"/>
      <protection/>
    </xf>
    <xf numFmtId="0" fontId="127" fillId="0" borderId="0" xfId="0" applyFont="1" applyFill="1" applyBorder="1" applyAlignment="1">
      <alignment horizontal="center"/>
    </xf>
    <xf numFmtId="3" fontId="33" fillId="0" borderId="0" xfId="33" applyNumberFormat="1" applyFont="1" applyFill="1" applyBorder="1" applyAlignment="1">
      <alignment vertical="center" wrapText="1"/>
      <protection/>
    </xf>
    <xf numFmtId="0" fontId="128" fillId="0" borderId="0" xfId="43" applyFont="1" applyFill="1" applyBorder="1" applyAlignment="1" applyProtection="1">
      <alignment vertical="top"/>
      <protection/>
    </xf>
    <xf numFmtId="0" fontId="13" fillId="0" borderId="0" xfId="0" applyFont="1" applyBorder="1" applyAlignment="1">
      <alignment vertical="top"/>
    </xf>
    <xf numFmtId="0" fontId="128" fillId="0" borderId="0" xfId="43" applyFont="1" applyBorder="1" applyAlignment="1" applyProtection="1">
      <alignment vertical="top"/>
      <protection/>
    </xf>
    <xf numFmtId="0" fontId="129" fillId="0" borderId="0" xfId="43" applyFont="1" applyFill="1" applyBorder="1" applyAlignment="1" applyProtection="1">
      <alignment horizontal="right" vertical="top"/>
      <protection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top"/>
    </xf>
    <xf numFmtId="0" fontId="39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3" fillId="34" borderId="19" xfId="0" applyNumberFormat="1" applyFont="1" applyFill="1" applyBorder="1" applyAlignment="1">
      <alignment horizontal="center" vertical="center"/>
    </xf>
    <xf numFmtId="3" fontId="130" fillId="0" borderId="19" xfId="0" applyNumberFormat="1" applyFont="1" applyFill="1" applyBorder="1" applyAlignment="1">
      <alignment horizontal="center" vertical="center"/>
    </xf>
    <xf numFmtId="3" fontId="131" fillId="34" borderId="20" xfId="0" applyNumberFormat="1" applyFont="1" applyFill="1" applyBorder="1" applyAlignment="1">
      <alignment horizontal="center" vertical="center"/>
    </xf>
    <xf numFmtId="4" fontId="132" fillId="34" borderId="19" xfId="0" applyNumberFormat="1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center" vertical="center"/>
    </xf>
    <xf numFmtId="0" fontId="133" fillId="0" borderId="0" xfId="60" applyFont="1" applyBorder="1">
      <alignment horizontal="center" vertical="center"/>
      <protection/>
    </xf>
    <xf numFmtId="0" fontId="39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3" fontId="3" fillId="34" borderId="23" xfId="0" applyNumberFormat="1" applyFont="1" applyFill="1" applyBorder="1" applyAlignment="1">
      <alignment horizontal="center" vertical="center"/>
    </xf>
    <xf numFmtId="3" fontId="130" fillId="0" borderId="23" xfId="0" applyNumberFormat="1" applyFont="1" applyFill="1" applyBorder="1" applyAlignment="1">
      <alignment horizontal="center" vertical="center"/>
    </xf>
    <xf numFmtId="3" fontId="131" fillId="34" borderId="24" xfId="0" applyNumberFormat="1" applyFont="1" applyFill="1" applyBorder="1" applyAlignment="1">
      <alignment horizontal="center" vertical="center"/>
    </xf>
    <xf numFmtId="4" fontId="132" fillId="34" borderId="23" xfId="0" applyNumberFormat="1" applyFont="1" applyFill="1" applyBorder="1" applyAlignment="1">
      <alignment horizontal="center" vertical="center"/>
    </xf>
    <xf numFmtId="4" fontId="43" fillId="34" borderId="25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131" fillId="34" borderId="23" xfId="0" applyNumberFormat="1" applyFont="1" applyFill="1" applyBorder="1" applyAlignment="1">
      <alignment horizontal="center" vertical="center"/>
    </xf>
    <xf numFmtId="3" fontId="130" fillId="34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134" fillId="0" borderId="23" xfId="0" applyFont="1" applyFill="1" applyBorder="1" applyAlignment="1">
      <alignment horizontal="left" vertical="center" wrapText="1"/>
    </xf>
    <xf numFmtId="3" fontId="135" fillId="34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4" fillId="0" borderId="26" xfId="0" applyFont="1" applyFill="1" applyBorder="1" applyAlignment="1">
      <alignment vertical="center" wrapText="1"/>
    </xf>
    <xf numFmtId="0" fontId="134" fillId="0" borderId="23" xfId="0" applyFont="1" applyFill="1" applyBorder="1" applyAlignment="1">
      <alignment horizontal="left" vertical="center"/>
    </xf>
    <xf numFmtId="0" fontId="134" fillId="34" borderId="23" xfId="0" applyFont="1" applyFill="1" applyBorder="1" applyAlignment="1">
      <alignment vertical="center"/>
    </xf>
    <xf numFmtId="0" fontId="134" fillId="34" borderId="23" xfId="0" applyFont="1" applyFill="1" applyBorder="1" applyAlignment="1">
      <alignment horizontal="left" vertical="center" wrapText="1"/>
    </xf>
    <xf numFmtId="0" fontId="134" fillId="0" borderId="28" xfId="0" applyFont="1" applyFill="1" applyBorder="1" applyAlignment="1">
      <alignment vertical="center" wrapText="1"/>
    </xf>
    <xf numFmtId="3" fontId="135" fillId="34" borderId="28" xfId="0" applyNumberFormat="1" applyFont="1" applyFill="1" applyBorder="1" applyAlignment="1">
      <alignment horizontal="center" vertical="center"/>
    </xf>
    <xf numFmtId="3" fontId="130" fillId="0" borderId="28" xfId="0" applyNumberFormat="1" applyFont="1" applyFill="1" applyBorder="1" applyAlignment="1">
      <alignment horizontal="center" vertical="center"/>
    </xf>
    <xf numFmtId="3" fontId="130" fillId="34" borderId="28" xfId="0" applyNumberFormat="1" applyFont="1" applyFill="1" applyBorder="1" applyAlignment="1">
      <alignment horizontal="center" vertical="center"/>
    </xf>
    <xf numFmtId="3" fontId="131" fillId="34" borderId="28" xfId="0" applyNumberFormat="1" applyFont="1" applyFill="1" applyBorder="1" applyAlignment="1">
      <alignment horizontal="center" vertical="center"/>
    </xf>
    <xf numFmtId="4" fontId="132" fillId="34" borderId="28" xfId="0" applyNumberFormat="1" applyFont="1" applyFill="1" applyBorder="1" applyAlignment="1">
      <alignment horizontal="center" vertical="center"/>
    </xf>
    <xf numFmtId="4" fontId="43" fillId="34" borderId="29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9" fontId="136" fillId="0" borderId="0" xfId="0" applyNumberFormat="1" applyFont="1" applyFill="1" applyBorder="1" applyAlignment="1">
      <alignment horizontal="left" vertical="center"/>
    </xf>
    <xf numFmtId="166" fontId="137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6" fillId="0" borderId="0" xfId="0" applyFont="1" applyFill="1" applyAlignment="1">
      <alignment horizontal="right" vertical="center"/>
    </xf>
    <xf numFmtId="4" fontId="43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9" fontId="138" fillId="0" borderId="0" xfId="0" applyNumberFormat="1" applyFont="1" applyFill="1" applyAlignment="1">
      <alignment horizontal="left" vertical="center"/>
    </xf>
    <xf numFmtId="166" fontId="13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166" fontId="43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66" fontId="140" fillId="0" borderId="0" xfId="0" applyNumberFormat="1" applyFont="1" applyFill="1" applyAlignment="1">
      <alignment horizontal="center" vertical="center"/>
    </xf>
    <xf numFmtId="4" fontId="140" fillId="0" borderId="0" xfId="43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>
      <alignment horizontal="right" vertical="center"/>
    </xf>
    <xf numFmtId="1" fontId="5" fillId="0" borderId="0" xfId="33" applyNumberFormat="1" applyFont="1" applyFill="1">
      <alignment horizontal="right" vertical="center"/>
      <protection/>
    </xf>
    <xf numFmtId="0" fontId="13" fillId="0" borderId="0" xfId="0" applyFont="1" applyFill="1" applyBorder="1" applyAlignment="1">
      <alignment vertical="center" wrapText="1"/>
    </xf>
    <xf numFmtId="0" fontId="141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 wrapText="1"/>
    </xf>
    <xf numFmtId="0" fontId="121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 vertical="top"/>
    </xf>
    <xf numFmtId="0" fontId="62" fillId="0" borderId="0" xfId="0" applyFont="1" applyFill="1" applyAlignment="1">
      <alignment horizontal="right" vertical="top"/>
    </xf>
    <xf numFmtId="0" fontId="142" fillId="0" borderId="0" xfId="0" applyFont="1" applyFill="1" applyAlignment="1">
      <alignment horizontal="right" vertical="top"/>
    </xf>
    <xf numFmtId="167" fontId="142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Alignment="1">
      <alignment vertical="top"/>
    </xf>
    <xf numFmtId="3" fontId="53" fillId="0" borderId="0" xfId="0" applyNumberFormat="1" applyFont="1" applyFill="1" applyAlignment="1">
      <alignment horizontal="center" vertical="top"/>
    </xf>
    <xf numFmtId="3" fontId="0" fillId="0" borderId="0" xfId="0" applyNumberFormat="1" applyFont="1" applyFill="1" applyAlignment="1">
      <alignment vertical="top"/>
    </xf>
    <xf numFmtId="0" fontId="14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73" fillId="0" borderId="0" xfId="0" applyFont="1" applyFill="1" applyAlignment="1">
      <alignment horizontal="right" vertical="center"/>
    </xf>
    <xf numFmtId="164" fontId="37" fillId="0" borderId="17" xfId="52" applyNumberFormat="1" applyFont="1" applyFill="1" applyBorder="1" applyAlignment="1">
      <alignment horizontal="center" vertical="center" wrapText="1"/>
      <protection/>
    </xf>
    <xf numFmtId="1" fontId="37" fillId="0" borderId="17" xfId="52" applyNumberFormat="1" applyFont="1" applyFill="1" applyBorder="1" applyAlignment="1">
      <alignment horizontal="center" vertical="center" wrapText="1"/>
      <protection/>
    </xf>
    <xf numFmtId="0" fontId="37" fillId="0" borderId="17" xfId="52" applyFont="1" applyFill="1" applyBorder="1" applyAlignment="1">
      <alignment horizontal="center" vertical="center" wrapText="1"/>
      <protection/>
    </xf>
    <xf numFmtId="168" fontId="37" fillId="0" borderId="17" xfId="52" applyNumberFormat="1" applyFont="1" applyFill="1" applyBorder="1" applyAlignment="1">
      <alignment horizontal="center" vertical="center" wrapText="1"/>
      <protection/>
    </xf>
    <xf numFmtId="0" fontId="39" fillId="0" borderId="3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134" fillId="0" borderId="23" xfId="0" applyFont="1" applyFill="1" applyBorder="1" applyAlignment="1">
      <alignment horizontal="left" vertical="center" wrapText="1"/>
    </xf>
    <xf numFmtId="0" fontId="43" fillId="0" borderId="34" xfId="0" applyFont="1" applyFill="1" applyBorder="1" applyAlignment="1">
      <alignment horizontal="center" vertical="top"/>
    </xf>
    <xf numFmtId="0" fontId="43" fillId="0" borderId="1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" fontId="49" fillId="0" borderId="0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Pric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Модель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Размеры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8">
    <dxf>
      <font>
        <color rgb="FF006100"/>
      </font>
      <fill>
        <patternFill>
          <bgColor rgb="FFFFCCC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FFCCCC"/>
        </patternFill>
      </fill>
    </dxf>
    <dxf>
      <font>
        <color rgb="FF006100"/>
      </font>
      <fill>
        <patternFill>
          <bgColor rgb="FFFFCCCC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0"/>
        </patternFill>
      </fill>
    </dxf>
    <dxf>
      <fill>
        <patternFill>
          <bgColor theme="6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CCCC"/>
        </patternFill>
      </fill>
    </dxf>
    <dxf>
      <fill>
        <patternFill>
          <bgColor theme="9" tint="0.3999499976634979"/>
        </patternFill>
      </fill>
    </dxf>
    <dxf>
      <font>
        <color rgb="FF006100"/>
      </font>
      <fill>
        <patternFill>
          <bgColor rgb="FFFFCCCC"/>
        </patternFill>
      </fill>
    </dxf>
    <dxf>
      <font>
        <color rgb="FF006100"/>
      </font>
      <fill>
        <patternFill>
          <bgColor rgb="FFFFCCCC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FFCCCC"/>
        </patternFill>
      </fill>
    </dxf>
    <dxf>
      <font>
        <color rgb="FF006100"/>
      </font>
      <fill>
        <patternFill>
          <bgColor rgb="FFFFCCCC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FFCCCC"/>
        </patternFill>
      </fill>
    </dxf>
    <dxf>
      <font>
        <color rgb="FF006100"/>
      </font>
      <fill>
        <patternFill>
          <bgColor rgb="FFFFCCCC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28.jpeg" /><Relationship Id="rId12" Type="http://schemas.openxmlformats.org/officeDocument/2006/relationships/image" Target="../media/image29.jpeg" /><Relationship Id="rId13" Type="http://schemas.openxmlformats.org/officeDocument/2006/relationships/image" Target="../media/image30.jpeg" /><Relationship Id="rId14" Type="http://schemas.openxmlformats.org/officeDocument/2006/relationships/image" Target="../media/image31.jpeg" /><Relationship Id="rId15" Type="http://schemas.openxmlformats.org/officeDocument/2006/relationships/image" Target="../media/image32.jpeg" /><Relationship Id="rId16" Type="http://schemas.openxmlformats.org/officeDocument/2006/relationships/image" Target="../media/image33.jpeg" /><Relationship Id="rId17" Type="http://schemas.openxmlformats.org/officeDocument/2006/relationships/image" Target="../media/image34.jpeg" /><Relationship Id="rId18" Type="http://schemas.openxmlformats.org/officeDocument/2006/relationships/image" Target="../media/image35.jpeg" /><Relationship Id="rId19" Type="http://schemas.openxmlformats.org/officeDocument/2006/relationships/image" Target="../media/image36.jpeg" /><Relationship Id="rId20" Type="http://schemas.openxmlformats.org/officeDocument/2006/relationships/image" Target="../media/image37.jpeg" /><Relationship Id="rId21" Type="http://schemas.openxmlformats.org/officeDocument/2006/relationships/image" Target="../media/image38.jpeg" /><Relationship Id="rId22" Type="http://schemas.openxmlformats.org/officeDocument/2006/relationships/image" Target="../media/image39.jpeg" /><Relationship Id="rId23" Type="http://schemas.openxmlformats.org/officeDocument/2006/relationships/image" Target="../media/image40.jpeg" /><Relationship Id="rId24" Type="http://schemas.openxmlformats.org/officeDocument/2006/relationships/image" Target="../media/image41.jpeg" /><Relationship Id="rId25" Type="http://schemas.openxmlformats.org/officeDocument/2006/relationships/image" Target="../media/image42.jpeg" /><Relationship Id="rId26" Type="http://schemas.openxmlformats.org/officeDocument/2006/relationships/image" Target="../media/image43.jpeg" /><Relationship Id="rId27" Type="http://schemas.openxmlformats.org/officeDocument/2006/relationships/image" Target="../media/image44.jpeg" /><Relationship Id="rId28" Type="http://schemas.openxmlformats.org/officeDocument/2006/relationships/image" Target="../media/image45.jpeg" /><Relationship Id="rId29" Type="http://schemas.openxmlformats.org/officeDocument/2006/relationships/image" Target="../media/image46.jpeg" /><Relationship Id="rId30" Type="http://schemas.openxmlformats.org/officeDocument/2006/relationships/image" Target="../media/image47.jpeg" /><Relationship Id="rId31" Type="http://schemas.openxmlformats.org/officeDocument/2006/relationships/image" Target="../media/image4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9.jpeg" /><Relationship Id="rId2" Type="http://schemas.openxmlformats.org/officeDocument/2006/relationships/image" Target="../media/image50.jpeg" /><Relationship Id="rId3" Type="http://schemas.openxmlformats.org/officeDocument/2006/relationships/image" Target="../media/image51.jpeg" /><Relationship Id="rId4" Type="http://schemas.openxmlformats.org/officeDocument/2006/relationships/image" Target="../media/image52.jpeg" /><Relationship Id="rId5" Type="http://schemas.openxmlformats.org/officeDocument/2006/relationships/image" Target="../media/image53.jpeg" /><Relationship Id="rId6" Type="http://schemas.openxmlformats.org/officeDocument/2006/relationships/image" Target="../media/image54.jpeg" /><Relationship Id="rId7" Type="http://schemas.openxmlformats.org/officeDocument/2006/relationships/image" Target="../media/image55.jpeg" /><Relationship Id="rId8" Type="http://schemas.openxmlformats.org/officeDocument/2006/relationships/image" Target="../media/image56.jpeg" /><Relationship Id="rId9" Type="http://schemas.openxmlformats.org/officeDocument/2006/relationships/image" Target="../media/image57.jpeg" /><Relationship Id="rId10" Type="http://schemas.openxmlformats.org/officeDocument/2006/relationships/image" Target="../media/image58.jpeg" /><Relationship Id="rId11" Type="http://schemas.openxmlformats.org/officeDocument/2006/relationships/image" Target="../media/image59.jpeg" /><Relationship Id="rId12" Type="http://schemas.openxmlformats.org/officeDocument/2006/relationships/image" Target="../media/image60.jpeg" /><Relationship Id="rId13" Type="http://schemas.openxmlformats.org/officeDocument/2006/relationships/image" Target="../media/image61.jpeg" /><Relationship Id="rId14" Type="http://schemas.openxmlformats.org/officeDocument/2006/relationships/image" Target="../media/image62.jpeg" /><Relationship Id="rId15" Type="http://schemas.openxmlformats.org/officeDocument/2006/relationships/image" Target="../media/image63.jpeg" /><Relationship Id="rId16" Type="http://schemas.openxmlformats.org/officeDocument/2006/relationships/image" Target="../media/image64.jpeg" /><Relationship Id="rId17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5</xdr:row>
      <xdr:rowOff>85725</xdr:rowOff>
    </xdr:from>
    <xdr:ext cx="2667000" cy="904875"/>
    <xdr:sp>
      <xdr:nvSpPr>
        <xdr:cNvPr id="1" name="TextBox 2"/>
        <xdr:cNvSpPr txBox="1">
          <a:spLocks noChangeArrowheads="1"/>
        </xdr:cNvSpPr>
      </xdr:nvSpPr>
      <xdr:spPr>
        <a:xfrm>
          <a:off x="1971675" y="85725"/>
          <a:ext cx="26670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entury Gothic"/>
              <a:ea typeface="Century Gothic"/>
              <a:cs typeface="Century Gothic"/>
            </a:rPr>
            <a:t>ЛЮКС
</a:t>
          </a:r>
          <a:r>
            <a:rPr lang="en-US" cap="none" sz="1100" b="1" i="0" u="none" baseline="0">
              <a:latin typeface="Century Gothic"/>
              <a:ea typeface="Century Gothic"/>
              <a:cs typeface="Century Gothic"/>
            </a:rPr>
            <a:t>мебель и оборудование для гостиниц</a:t>
          </a:r>
        </a:p>
      </xdr:txBody>
    </xdr:sp>
    <xdr:clientData/>
  </xdr:oneCellAnchor>
  <xdr:twoCellAnchor editAs="oneCell">
    <xdr:from>
      <xdr:col>0</xdr:col>
      <xdr:colOff>0</xdr:colOff>
      <xdr:row>5</xdr:row>
      <xdr:rowOff>19050</xdr:rowOff>
    </xdr:from>
    <xdr:to>
      <xdr:col>2</xdr:col>
      <xdr:colOff>981075</xdr:colOff>
      <xdr:row>11</xdr:row>
      <xdr:rowOff>66675</xdr:rowOff>
    </xdr:to>
    <xdr:pic>
      <xdr:nvPicPr>
        <xdr:cNvPr id="2" name="Рисунок 1" descr="pm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904875</xdr:colOff>
      <xdr:row>26</xdr:row>
      <xdr:rowOff>190500</xdr:rowOff>
    </xdr:to>
    <xdr:pic>
      <xdr:nvPicPr>
        <xdr:cNvPr id="3" name="Рисунок 75" descr="кр у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267200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47</xdr:row>
      <xdr:rowOff>9525</xdr:rowOff>
    </xdr:from>
    <xdr:to>
      <xdr:col>2</xdr:col>
      <xdr:colOff>495300</xdr:colOff>
      <xdr:row>47</xdr:row>
      <xdr:rowOff>533400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383030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46</xdr:row>
      <xdr:rowOff>9525</xdr:rowOff>
    </xdr:from>
    <xdr:to>
      <xdr:col>2</xdr:col>
      <xdr:colOff>457200</xdr:colOff>
      <xdr:row>47</xdr:row>
      <xdr:rowOff>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383030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27</xdr:row>
      <xdr:rowOff>38100</xdr:rowOff>
    </xdr:from>
    <xdr:to>
      <xdr:col>2</xdr:col>
      <xdr:colOff>742950</xdr:colOff>
      <xdr:row>27</xdr:row>
      <xdr:rowOff>542925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478155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28</xdr:row>
      <xdr:rowOff>38100</xdr:rowOff>
    </xdr:from>
    <xdr:to>
      <xdr:col>2</xdr:col>
      <xdr:colOff>762000</xdr:colOff>
      <xdr:row>28</xdr:row>
      <xdr:rowOff>542925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539115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29</xdr:row>
      <xdr:rowOff>47625</xdr:rowOff>
    </xdr:from>
    <xdr:to>
      <xdr:col>2</xdr:col>
      <xdr:colOff>714375</xdr:colOff>
      <xdr:row>29</xdr:row>
      <xdr:rowOff>571500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60102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30</xdr:row>
      <xdr:rowOff>38100</xdr:rowOff>
    </xdr:from>
    <xdr:to>
      <xdr:col>2</xdr:col>
      <xdr:colOff>790575</xdr:colOff>
      <xdr:row>30</xdr:row>
      <xdr:rowOff>581025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66103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31</xdr:row>
      <xdr:rowOff>19050</xdr:rowOff>
    </xdr:from>
    <xdr:to>
      <xdr:col>2</xdr:col>
      <xdr:colOff>733425</xdr:colOff>
      <xdr:row>31</xdr:row>
      <xdr:rowOff>571500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72009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33</xdr:row>
      <xdr:rowOff>85725</xdr:rowOff>
    </xdr:from>
    <xdr:to>
      <xdr:col>2</xdr:col>
      <xdr:colOff>962025</xdr:colOff>
      <xdr:row>33</xdr:row>
      <xdr:rowOff>514350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84963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34</xdr:row>
      <xdr:rowOff>66675</xdr:rowOff>
    </xdr:from>
    <xdr:to>
      <xdr:col>2</xdr:col>
      <xdr:colOff>885825</xdr:colOff>
      <xdr:row>34</xdr:row>
      <xdr:rowOff>561975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7700" y="90773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37</xdr:row>
      <xdr:rowOff>47625</xdr:rowOff>
    </xdr:from>
    <xdr:to>
      <xdr:col>2</xdr:col>
      <xdr:colOff>847725</xdr:colOff>
      <xdr:row>38</xdr:row>
      <xdr:rowOff>219075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0550" y="103251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39</xdr:row>
      <xdr:rowOff>76200</xdr:rowOff>
    </xdr:from>
    <xdr:to>
      <xdr:col>2</xdr:col>
      <xdr:colOff>895350</xdr:colOff>
      <xdr:row>39</xdr:row>
      <xdr:rowOff>552450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1102995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40</xdr:row>
      <xdr:rowOff>57150</xdr:rowOff>
    </xdr:from>
    <xdr:to>
      <xdr:col>2</xdr:col>
      <xdr:colOff>828675</xdr:colOff>
      <xdr:row>40</xdr:row>
      <xdr:rowOff>609600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8175" y="116205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41</xdr:row>
      <xdr:rowOff>66675</xdr:rowOff>
    </xdr:from>
    <xdr:to>
      <xdr:col>2</xdr:col>
      <xdr:colOff>847725</xdr:colOff>
      <xdr:row>42</xdr:row>
      <xdr:rowOff>238125</xdr:rowOff>
    </xdr:to>
    <xdr:pic>
      <xdr:nvPicPr>
        <xdr:cNvPr id="16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5325" y="122491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43</xdr:row>
      <xdr:rowOff>76200</xdr:rowOff>
    </xdr:from>
    <xdr:to>
      <xdr:col>2</xdr:col>
      <xdr:colOff>457200</xdr:colOff>
      <xdr:row>45</xdr:row>
      <xdr:rowOff>28575</xdr:rowOff>
    </xdr:to>
    <xdr:pic>
      <xdr:nvPicPr>
        <xdr:cNvPr id="17" name="Рисунок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" y="12906375"/>
          <a:ext cx="27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21</xdr:row>
      <xdr:rowOff>19050</xdr:rowOff>
    </xdr:from>
    <xdr:to>
      <xdr:col>2</xdr:col>
      <xdr:colOff>952500</xdr:colOff>
      <xdr:row>23</xdr:row>
      <xdr:rowOff>180975</xdr:rowOff>
    </xdr:to>
    <xdr:pic>
      <xdr:nvPicPr>
        <xdr:cNvPr id="18" name="Рисунок 73" descr="Изголовье 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0550" y="336232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12</xdr:row>
      <xdr:rowOff>152400</xdr:rowOff>
    </xdr:from>
    <xdr:to>
      <xdr:col>7</xdr:col>
      <xdr:colOff>933450</xdr:colOff>
      <xdr:row>17</xdr:row>
      <xdr:rowOff>123825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124950" y="14287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47</xdr:row>
      <xdr:rowOff>76200</xdr:rowOff>
    </xdr:from>
    <xdr:to>
      <xdr:col>2</xdr:col>
      <xdr:colOff>1190625</xdr:colOff>
      <xdr:row>47</xdr:row>
      <xdr:rowOff>533400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95400" y="13830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46</xdr:row>
      <xdr:rowOff>47625</xdr:rowOff>
    </xdr:from>
    <xdr:to>
      <xdr:col>2</xdr:col>
      <xdr:colOff>1162050</xdr:colOff>
      <xdr:row>46</xdr:row>
      <xdr:rowOff>533400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62075" y="138303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35</xdr:row>
      <xdr:rowOff>47625</xdr:rowOff>
    </xdr:from>
    <xdr:to>
      <xdr:col>2</xdr:col>
      <xdr:colOff>857250</xdr:colOff>
      <xdr:row>36</xdr:row>
      <xdr:rowOff>209550</xdr:rowOff>
    </xdr:to>
    <xdr:pic>
      <xdr:nvPicPr>
        <xdr:cNvPr id="22" name="Рисунок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0550" y="9715500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76200</xdr:rowOff>
    </xdr:from>
    <xdr:to>
      <xdr:col>5</xdr:col>
      <xdr:colOff>885825</xdr:colOff>
      <xdr:row>17</xdr:row>
      <xdr:rowOff>104775</xdr:rowOff>
    </xdr:to>
    <xdr:pic>
      <xdr:nvPicPr>
        <xdr:cNvPr id="23" name="Рисунок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39000" y="1181100"/>
          <a:ext cx="819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85725</xdr:rowOff>
    </xdr:from>
    <xdr:to>
      <xdr:col>6</xdr:col>
      <xdr:colOff>895350</xdr:colOff>
      <xdr:row>17</xdr:row>
      <xdr:rowOff>114300</xdr:rowOff>
    </xdr:to>
    <xdr:pic>
      <xdr:nvPicPr>
        <xdr:cNvPr id="24" name="Рисунок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91500" y="1190625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1095375</xdr:colOff>
      <xdr:row>12</xdr:row>
      <xdr:rowOff>0</xdr:rowOff>
    </xdr:from>
    <xdr:to>
      <xdr:col>8</xdr:col>
      <xdr:colOff>866775</xdr:colOff>
      <xdr:row>15</xdr:row>
      <xdr:rowOff>47625</xdr:rowOff>
    </xdr:to>
    <xdr:pic>
      <xdr:nvPicPr>
        <xdr:cNvPr id="25" name="Рисунок 52" descr="Ручка мебельная, кнопка Romantic, античная бронза, Metakor"/>
        <xdr:cNvPicPr preferRelativeResize="1">
          <a:picLocks noChangeAspect="1"/>
        </xdr:cNvPicPr>
      </xdr:nvPicPr>
      <xdr:blipFill>
        <a:blip r:embed="rId24"/>
        <a:srcRect l="8332" t="8352" r="9722" b="13705"/>
        <a:stretch>
          <a:fillRect/>
        </a:stretch>
      </xdr:blipFill>
      <xdr:spPr>
        <a:xfrm>
          <a:off x="10182225" y="1276350"/>
          <a:ext cx="895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1066800</xdr:colOff>
      <xdr:row>15</xdr:row>
      <xdr:rowOff>28575</xdr:rowOff>
    </xdr:from>
    <xdr:to>
      <xdr:col>9</xdr:col>
      <xdr:colOff>133350</xdr:colOff>
      <xdr:row>18</xdr:row>
      <xdr:rowOff>0</xdr:rowOff>
    </xdr:to>
    <xdr:pic>
      <xdr:nvPicPr>
        <xdr:cNvPr id="26" name="Рисунок 53" descr="https://tdserver.ru/upload/iblock/8ed/191814.jpg"/>
        <xdr:cNvPicPr preferRelativeResize="1">
          <a:picLocks noChangeAspect="1"/>
        </xdr:cNvPicPr>
      </xdr:nvPicPr>
      <xdr:blipFill>
        <a:blip r:embed="rId25"/>
        <a:srcRect t="18765" b="15061"/>
        <a:stretch>
          <a:fillRect/>
        </a:stretch>
      </xdr:blipFill>
      <xdr:spPr>
        <a:xfrm>
          <a:off x="10153650" y="1876425"/>
          <a:ext cx="1181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32</xdr:row>
      <xdr:rowOff>104775</xdr:rowOff>
    </xdr:from>
    <xdr:to>
      <xdr:col>2</xdr:col>
      <xdr:colOff>733425</xdr:colOff>
      <xdr:row>32</xdr:row>
      <xdr:rowOff>552450</xdr:rowOff>
    </xdr:to>
    <xdr:pic>
      <xdr:nvPicPr>
        <xdr:cNvPr id="27" name="Рисунок 4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47700" y="7896225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43</xdr:row>
      <xdr:rowOff>285750</xdr:rowOff>
    </xdr:from>
    <xdr:to>
      <xdr:col>2</xdr:col>
      <xdr:colOff>981075</xdr:colOff>
      <xdr:row>45</xdr:row>
      <xdr:rowOff>276225</xdr:rowOff>
    </xdr:to>
    <xdr:pic>
      <xdr:nvPicPr>
        <xdr:cNvPr id="28" name="Рисунок 47"/>
        <xdr:cNvPicPr preferRelativeResize="1">
          <a:picLocks noChangeAspect="1"/>
        </xdr:cNvPicPr>
      </xdr:nvPicPr>
      <xdr:blipFill>
        <a:blip r:embed="rId27"/>
        <a:srcRect l="37500" t="8645" r="37249" b="8270"/>
        <a:stretch>
          <a:fillRect/>
        </a:stretch>
      </xdr:blipFill>
      <xdr:spPr>
        <a:xfrm>
          <a:off x="1085850" y="131159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48</xdr:row>
      <xdr:rowOff>133350</xdr:rowOff>
    </xdr:from>
    <xdr:to>
      <xdr:col>2</xdr:col>
      <xdr:colOff>904875</xdr:colOff>
      <xdr:row>49</xdr:row>
      <xdr:rowOff>333375</xdr:rowOff>
    </xdr:to>
    <xdr:pic>
      <xdr:nvPicPr>
        <xdr:cNvPr id="29" name="Рисунок 48"/>
        <xdr:cNvPicPr preferRelativeResize="1">
          <a:picLocks noChangeAspect="1"/>
        </xdr:cNvPicPr>
      </xdr:nvPicPr>
      <xdr:blipFill>
        <a:blip r:embed="rId28"/>
        <a:srcRect l="13067" t="4545" r="12309"/>
        <a:stretch>
          <a:fillRect/>
        </a:stretch>
      </xdr:blipFill>
      <xdr:spPr>
        <a:xfrm>
          <a:off x="581025" y="1396365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50</xdr:row>
      <xdr:rowOff>95250</xdr:rowOff>
    </xdr:from>
    <xdr:to>
      <xdr:col>2</xdr:col>
      <xdr:colOff>904875</xdr:colOff>
      <xdr:row>51</xdr:row>
      <xdr:rowOff>333375</xdr:rowOff>
    </xdr:to>
    <xdr:pic>
      <xdr:nvPicPr>
        <xdr:cNvPr id="30" name="Рисунок 49"/>
        <xdr:cNvPicPr preferRelativeResize="1">
          <a:picLocks noChangeAspect="1"/>
        </xdr:cNvPicPr>
      </xdr:nvPicPr>
      <xdr:blipFill>
        <a:blip r:embed="rId29"/>
        <a:srcRect l="12026" t="3266" r="12689"/>
        <a:stretch>
          <a:fillRect/>
        </a:stretch>
      </xdr:blipFill>
      <xdr:spPr>
        <a:xfrm>
          <a:off x="533400" y="1478280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52</xdr:row>
      <xdr:rowOff>85725</xdr:rowOff>
    </xdr:from>
    <xdr:to>
      <xdr:col>2</xdr:col>
      <xdr:colOff>1095375</xdr:colOff>
      <xdr:row>53</xdr:row>
      <xdr:rowOff>361950</xdr:rowOff>
    </xdr:to>
    <xdr:pic>
      <xdr:nvPicPr>
        <xdr:cNvPr id="31" name="Рисунок 50"/>
        <xdr:cNvPicPr preferRelativeResize="1">
          <a:picLocks noChangeAspect="1"/>
        </xdr:cNvPicPr>
      </xdr:nvPicPr>
      <xdr:blipFill>
        <a:blip r:embed="rId30"/>
        <a:srcRect l="8616" t="8381" r="7385"/>
        <a:stretch>
          <a:fillRect/>
        </a:stretch>
      </xdr:blipFill>
      <xdr:spPr>
        <a:xfrm>
          <a:off x="533400" y="156305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11</xdr:row>
      <xdr:rowOff>114300</xdr:rowOff>
    </xdr:from>
    <xdr:to>
      <xdr:col>9</xdr:col>
      <xdr:colOff>790575</xdr:colOff>
      <xdr:row>17</xdr:row>
      <xdr:rowOff>47625</xdr:rowOff>
    </xdr:to>
    <xdr:pic>
      <xdr:nvPicPr>
        <xdr:cNvPr id="32" name="Рисунок 32" descr="ZAMPA Крючок двухрожковый бронза состаренная фото товара 1 - WR4535"/>
        <xdr:cNvPicPr preferRelativeResize="1">
          <a:picLocks noChangeAspect="1"/>
        </xdr:cNvPicPr>
      </xdr:nvPicPr>
      <xdr:blipFill>
        <a:blip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250" t="3251" r="24374" b="5249"/>
        <a:stretch>
          <a:fillRect/>
        </a:stretch>
      </xdr:blipFill>
      <xdr:spPr>
        <a:xfrm>
          <a:off x="11458575" y="1219200"/>
          <a:ext cx="533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dmin/Desktop/www.mebel-land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6">
      <selection activeCell="G55" sqref="G55"/>
    </sheetView>
  </sheetViews>
  <sheetFormatPr defaultColWidth="9.140625" defaultRowHeight="15"/>
  <cols>
    <col min="1" max="1" width="1.421875" style="1" customWidth="1"/>
    <col min="2" max="2" width="4.7109375" style="1" customWidth="1"/>
    <col min="3" max="3" width="17.8515625" style="1" customWidth="1"/>
    <col min="4" max="4" width="63.140625" style="1" customWidth="1"/>
    <col min="5" max="5" width="20.421875" style="2" customWidth="1"/>
    <col min="6" max="6" width="14.421875" style="2" customWidth="1"/>
    <col min="7" max="7" width="14.28125" style="2" customWidth="1"/>
    <col min="8" max="8" width="16.8515625" style="2" customWidth="1"/>
    <col min="9" max="9" width="14.8515625" style="2" customWidth="1"/>
    <col min="10" max="10" width="16.8515625" style="1" customWidth="1"/>
    <col min="11" max="11" width="4.8515625" style="1" customWidth="1"/>
    <col min="12" max="12" width="12.421875" style="5" customWidth="1"/>
    <col min="13" max="13" width="11.421875" style="6" customWidth="1"/>
    <col min="14" max="14" width="11.421875" style="7" customWidth="1"/>
    <col min="15" max="15" width="11.421875" style="8" customWidth="1"/>
    <col min="16" max="16" width="8.28125" style="6" customWidth="1"/>
    <col min="17" max="16384" width="9.140625" style="1" customWidth="1"/>
  </cols>
  <sheetData>
    <row r="1" spans="6:17" ht="15" customHeight="1" hidden="1">
      <c r="F1" s="3"/>
      <c r="H1" s="3"/>
      <c r="I1" s="3"/>
      <c r="J1" s="4"/>
      <c r="K1" s="4"/>
      <c r="P1" s="8"/>
      <c r="Q1" s="9"/>
    </row>
    <row r="2" spans="5:17" ht="15" customHeight="1" hidden="1">
      <c r="E2" s="1"/>
      <c r="F2" s="10"/>
      <c r="G2" s="1"/>
      <c r="H2" s="4"/>
      <c r="I2" s="11"/>
      <c r="J2" s="12" t="s">
        <v>0</v>
      </c>
      <c r="K2" s="12"/>
      <c r="L2" s="6"/>
      <c r="P2" s="8"/>
      <c r="Q2" s="9"/>
    </row>
    <row r="3" spans="6:17" ht="15" customHeight="1" hidden="1">
      <c r="F3" s="10"/>
      <c r="H3" s="4"/>
      <c r="I3" s="4"/>
      <c r="J3" s="13" t="s">
        <v>1</v>
      </c>
      <c r="K3" s="13"/>
      <c r="L3" s="6"/>
      <c r="P3" s="8"/>
      <c r="Q3" s="9"/>
    </row>
    <row r="4" spans="5:17" ht="15" customHeight="1" hidden="1">
      <c r="E4" s="14" t="s">
        <v>2</v>
      </c>
      <c r="F4" s="10"/>
      <c r="G4" s="14"/>
      <c r="H4" s="10"/>
      <c r="I4" s="10"/>
      <c r="J4" s="4"/>
      <c r="K4" s="4"/>
      <c r="L4" s="6"/>
      <c r="P4" s="8"/>
      <c r="Q4" s="9"/>
    </row>
    <row r="5" spans="6:17" ht="15" customHeight="1" hidden="1">
      <c r="F5" s="3"/>
      <c r="H5" s="3"/>
      <c r="I5" s="3"/>
      <c r="J5" s="4"/>
      <c r="K5" s="4"/>
      <c r="L5" s="6"/>
      <c r="P5" s="8"/>
      <c r="Q5" s="9"/>
    </row>
    <row r="6" spans="5:15" s="6" customFormat="1" ht="15">
      <c r="E6" s="15"/>
      <c r="F6" s="5"/>
      <c r="G6" s="15"/>
      <c r="I6" s="5"/>
      <c r="J6" s="16" t="s">
        <v>3</v>
      </c>
      <c r="L6" s="5"/>
      <c r="N6" s="7"/>
      <c r="O6" s="8"/>
    </row>
    <row r="7" spans="4:15" s="6" customFormat="1" ht="16.5" customHeight="1">
      <c r="D7" s="17"/>
      <c r="E7" s="15"/>
      <c r="F7" s="5"/>
      <c r="G7" s="15"/>
      <c r="I7" s="5"/>
      <c r="J7" s="16" t="s">
        <v>4</v>
      </c>
      <c r="L7" s="5"/>
      <c r="N7" s="18"/>
      <c r="O7" s="19"/>
    </row>
    <row r="8" spans="2:15" s="20" customFormat="1" ht="16.5" customHeight="1">
      <c r="B8" s="21"/>
      <c r="C8" s="21"/>
      <c r="D8" s="21"/>
      <c r="F8" s="22"/>
      <c r="J8" s="23" t="s">
        <v>5</v>
      </c>
      <c r="L8" s="5"/>
      <c r="M8" s="6"/>
      <c r="N8" s="24"/>
      <c r="O8" s="25"/>
    </row>
    <row r="9" spans="10:15" s="26" customFormat="1" ht="16.5" customHeight="1">
      <c r="J9" s="16" t="s">
        <v>6</v>
      </c>
      <c r="L9" s="5"/>
      <c r="M9" s="6"/>
      <c r="N9" s="24"/>
      <c r="O9" s="25"/>
    </row>
    <row r="10" spans="4:15" s="26" customFormat="1" ht="6.75" customHeight="1">
      <c r="D10" s="27"/>
      <c r="E10" s="6"/>
      <c r="I10" s="28"/>
      <c r="L10" s="28"/>
      <c r="N10" s="24"/>
      <c r="O10" s="25"/>
    </row>
    <row r="11" spans="2:15" s="6" customFormat="1" ht="15.75" customHeight="1">
      <c r="B11" s="29"/>
      <c r="C11" s="30"/>
      <c r="D11" s="31"/>
      <c r="F11" s="32" t="s">
        <v>7</v>
      </c>
      <c r="G11" s="32" t="s">
        <v>8</v>
      </c>
      <c r="H11" s="32" t="s">
        <v>9</v>
      </c>
      <c r="J11" s="33" t="s">
        <v>106</v>
      </c>
      <c r="L11" s="26"/>
      <c r="M11"/>
      <c r="N11" s="26"/>
      <c r="O11" s="34"/>
    </row>
    <row r="12" spans="1:15" s="6" customFormat="1" ht="13.5" customHeight="1">
      <c r="A12" s="35"/>
      <c r="D12" s="31"/>
      <c r="E12" s="5"/>
      <c r="F12" s="5"/>
      <c r="G12" s="36" t="s">
        <v>10</v>
      </c>
      <c r="H12" s="5"/>
      <c r="I12" s="5"/>
      <c r="L12" s="37"/>
      <c r="N12" s="38"/>
      <c r="O12" s="8"/>
    </row>
    <row r="13" spans="5:15" s="6" customFormat="1" ht="13.5" customHeight="1" thickBot="1">
      <c r="E13" s="5"/>
      <c r="F13" s="5"/>
      <c r="G13" s="39"/>
      <c r="H13" s="5"/>
      <c r="I13" s="5"/>
      <c r="L13" s="40"/>
      <c r="N13" s="38"/>
      <c r="O13" s="8"/>
    </row>
    <row r="14" spans="2:15" s="6" customFormat="1" ht="15.75" customHeight="1" thickBot="1" thickTop="1">
      <c r="B14" s="41"/>
      <c r="C14" s="42" t="s">
        <v>11</v>
      </c>
      <c r="D14" s="43" t="s">
        <v>12</v>
      </c>
      <c r="E14" s="44"/>
      <c r="F14" s="45"/>
      <c r="G14" s="5"/>
      <c r="H14" s="46"/>
      <c r="I14" s="46"/>
      <c r="L14" s="47"/>
      <c r="M14"/>
      <c r="N14" s="38"/>
      <c r="O14" s="8"/>
    </row>
    <row r="15" spans="2:15" s="6" customFormat="1" ht="15.75" customHeight="1" thickBot="1" thickTop="1">
      <c r="B15" s="41"/>
      <c r="C15" s="42" t="s">
        <v>13</v>
      </c>
      <c r="D15" s="43" t="s">
        <v>7</v>
      </c>
      <c r="E15" s="44"/>
      <c r="F15" s="45"/>
      <c r="G15" s="48"/>
      <c r="H15" s="49"/>
      <c r="I15"/>
      <c r="J15" s="50"/>
      <c r="L15" s="40"/>
      <c r="N15" s="38"/>
      <c r="O15" s="8"/>
    </row>
    <row r="16" spans="2:15" s="6" customFormat="1" ht="15.75" customHeight="1" thickBot="1" thickTop="1">
      <c r="B16" s="41"/>
      <c r="C16" s="42" t="s">
        <v>14</v>
      </c>
      <c r="D16" s="43" t="s">
        <v>15</v>
      </c>
      <c r="E16" s="44"/>
      <c r="F16" s="5"/>
      <c r="G16" s="44"/>
      <c r="H16" s="49"/>
      <c r="I16" s="5"/>
      <c r="L16" s="40"/>
      <c r="N16" s="38"/>
      <c r="O16" s="8"/>
    </row>
    <row r="17" spans="2:15" s="6" customFormat="1" ht="15.75" customHeight="1" thickBot="1" thickTop="1">
      <c r="B17" s="41"/>
      <c r="C17" s="42" t="s">
        <v>16</v>
      </c>
      <c r="D17" s="43" t="s">
        <v>17</v>
      </c>
      <c r="E17" s="44"/>
      <c r="F17" s="5"/>
      <c r="G17" s="44"/>
      <c r="H17" s="5"/>
      <c r="I17" s="5"/>
      <c r="L17" s="40"/>
      <c r="N17" s="38"/>
      <c r="O17" s="8"/>
    </row>
    <row r="18" spans="1:16" s="52" customFormat="1" ht="15.75" customHeight="1" thickBot="1" thickTop="1">
      <c r="A18" s="1"/>
      <c r="B18" s="3"/>
      <c r="C18" s="42" t="s">
        <v>18</v>
      </c>
      <c r="D18" s="43" t="s">
        <v>19</v>
      </c>
      <c r="E18" s="44"/>
      <c r="F18" s="51"/>
      <c r="G18" s="44"/>
      <c r="H18" s="51"/>
      <c r="I18" s="26"/>
      <c r="J18" s="26"/>
      <c r="L18" s="40"/>
      <c r="M18" s="6"/>
      <c r="N18" s="38"/>
      <c r="O18" s="8"/>
      <c r="P18" s="26"/>
    </row>
    <row r="19" spans="2:16" s="52" customFormat="1" ht="17.25" customHeight="1" thickBot="1" thickTop="1">
      <c r="B19" s="53"/>
      <c r="C19" s="51"/>
      <c r="D19" s="54"/>
      <c r="E19" s="44"/>
      <c r="F19" s="153" t="s">
        <v>104</v>
      </c>
      <c r="G19" s="154"/>
      <c r="H19" s="26"/>
      <c r="I19" s="26"/>
      <c r="J19" s="26"/>
      <c r="L19" s="40"/>
      <c r="M19" s="6"/>
      <c r="N19" s="38"/>
      <c r="O19" s="8"/>
      <c r="P19" s="26"/>
    </row>
    <row r="20" spans="2:16" ht="36.75" customHeight="1" thickBot="1">
      <c r="B20" s="55" t="s">
        <v>20</v>
      </c>
      <c r="C20" s="56" t="s">
        <v>21</v>
      </c>
      <c r="D20" s="56" t="s">
        <v>22</v>
      </c>
      <c r="E20" s="56" t="s">
        <v>23</v>
      </c>
      <c r="F20" s="57" t="s">
        <v>7</v>
      </c>
      <c r="G20" s="58" t="s">
        <v>8</v>
      </c>
      <c r="H20" s="58" t="s">
        <v>24</v>
      </c>
      <c r="I20" s="59" t="s">
        <v>25</v>
      </c>
      <c r="J20" s="60" t="s">
        <v>26</v>
      </c>
      <c r="L20" s="61" t="s">
        <v>27</v>
      </c>
      <c r="M20" s="61" t="s">
        <v>28</v>
      </c>
      <c r="N20" s="61" t="s">
        <v>29</v>
      </c>
      <c r="O20" s="61" t="s">
        <v>30</v>
      </c>
      <c r="P20" s="62"/>
    </row>
    <row r="21" spans="2:15" ht="16.5" customHeight="1">
      <c r="B21" s="63">
        <v>1</v>
      </c>
      <c r="C21" s="147"/>
      <c r="D21" s="64" t="s">
        <v>31</v>
      </c>
      <c r="E21" s="65" t="s">
        <v>32</v>
      </c>
      <c r="F21" s="66">
        <v>2811</v>
      </c>
      <c r="G21" s="66">
        <v>5083</v>
      </c>
      <c r="H21" s="67">
        <v>0</v>
      </c>
      <c r="I21" s="68">
        <f aca="true" t="shared" si="0" ref="I21:I54">IF($D$15=$F$20,IF($D$15=$F$20,IF($H21&gt;0,IF($F$56="22%",$F21/100*78,IF($F$56="19%",$F21/100*81,IF($F$56="16%",$F21/100*84,IF($F$56="13%",$F21/100*87,$F21)))),0),0),IF($D$15=$G$20,IF($H21&gt;0,IF($G$56="22%",$G21/100*78,IF($G$56="19%",$G21/100*81,IF($G$56="16%",$G21/100*84,IF($G$56="13%",$G21/100*87,$G21)))),0),0))</f>
        <v>0</v>
      </c>
      <c r="J21" s="69">
        <f aca="true" t="shared" si="1" ref="J21:J54">H21*I21</f>
        <v>0</v>
      </c>
      <c r="K21" s="70"/>
      <c r="L21" s="138">
        <f>H21*N21</f>
        <v>0</v>
      </c>
      <c r="M21" s="139">
        <f>H21*O21</f>
        <v>0</v>
      </c>
      <c r="N21" s="141">
        <f>0.68*0.91*0.04</f>
        <v>0.024752</v>
      </c>
      <c r="O21" s="140">
        <v>8.5</v>
      </c>
    </row>
    <row r="22" spans="2:15" ht="16.5" customHeight="1">
      <c r="B22" s="71">
        <f>B21+1</f>
        <v>2</v>
      </c>
      <c r="C22" s="148"/>
      <c r="D22" s="72" t="s">
        <v>33</v>
      </c>
      <c r="E22" s="73" t="s">
        <v>34</v>
      </c>
      <c r="F22" s="74">
        <v>3646</v>
      </c>
      <c r="G22" s="74">
        <v>7377</v>
      </c>
      <c r="H22" s="75">
        <v>0</v>
      </c>
      <c r="I22" s="76">
        <f t="shared" si="0"/>
        <v>0</v>
      </c>
      <c r="J22" s="77">
        <f t="shared" si="1"/>
        <v>0</v>
      </c>
      <c r="K22" s="70"/>
      <c r="L22" s="138">
        <f>H22*N22</f>
        <v>0</v>
      </c>
      <c r="M22" s="139">
        <f>H22*O22</f>
        <v>0</v>
      </c>
      <c r="N22" s="141">
        <f>1.11*0.91*0.04</f>
        <v>0.04040400000000001</v>
      </c>
      <c r="O22" s="140">
        <v>14</v>
      </c>
    </row>
    <row r="23" spans="2:15" ht="16.5" customHeight="1">
      <c r="B23" s="71">
        <f aca="true" t="shared" si="2" ref="B23:B54">B22+1</f>
        <v>3</v>
      </c>
      <c r="C23" s="148"/>
      <c r="D23" s="78" t="s">
        <v>35</v>
      </c>
      <c r="E23" s="73" t="s">
        <v>36</v>
      </c>
      <c r="F23" s="74">
        <v>5026</v>
      </c>
      <c r="G23" s="74">
        <v>11164</v>
      </c>
      <c r="H23" s="75">
        <v>0</v>
      </c>
      <c r="I23" s="76">
        <f t="shared" si="0"/>
        <v>0</v>
      </c>
      <c r="J23" s="77">
        <f t="shared" si="1"/>
        <v>0</v>
      </c>
      <c r="K23" s="70"/>
      <c r="L23" s="138">
        <f aca="true" t="shared" si="3" ref="L23:L54">H23*N23</f>
        <v>0</v>
      </c>
      <c r="M23" s="139">
        <f aca="true" t="shared" si="4" ref="M23:M54">H23*O23</f>
        <v>0</v>
      </c>
      <c r="N23" s="141">
        <f>1.81*0.91*0.04</f>
        <v>0.065884</v>
      </c>
      <c r="O23" s="140">
        <v>22</v>
      </c>
    </row>
    <row r="24" spans="2:15" ht="15.75" customHeight="1">
      <c r="B24" s="71">
        <f t="shared" si="2"/>
        <v>4</v>
      </c>
      <c r="C24" s="148"/>
      <c r="D24" s="78" t="s">
        <v>37</v>
      </c>
      <c r="E24" s="73" t="s">
        <v>38</v>
      </c>
      <c r="F24" s="74">
        <v>8837</v>
      </c>
      <c r="G24" s="74">
        <v>19689</v>
      </c>
      <c r="H24" s="79">
        <v>0</v>
      </c>
      <c r="I24" s="76">
        <f t="shared" si="0"/>
        <v>0</v>
      </c>
      <c r="J24" s="77">
        <f t="shared" si="1"/>
        <v>0</v>
      </c>
      <c r="K24" s="70"/>
      <c r="L24" s="138">
        <f t="shared" si="3"/>
        <v>0</v>
      </c>
      <c r="M24" s="139">
        <f t="shared" si="4"/>
        <v>0</v>
      </c>
      <c r="N24" s="141">
        <f>(1.8*0.91*0.04)*2</f>
        <v>0.13104000000000002</v>
      </c>
      <c r="O24" s="140">
        <v>41</v>
      </c>
    </row>
    <row r="25" spans="2:15" ht="16.5" customHeight="1">
      <c r="B25" s="71">
        <f t="shared" si="2"/>
        <v>5</v>
      </c>
      <c r="C25" s="149"/>
      <c r="D25" s="72" t="s">
        <v>39</v>
      </c>
      <c r="E25" s="73" t="s">
        <v>40</v>
      </c>
      <c r="F25" s="74">
        <v>5589</v>
      </c>
      <c r="G25" s="74">
        <v>12711</v>
      </c>
      <c r="H25" s="79">
        <v>0</v>
      </c>
      <c r="I25" s="76">
        <f t="shared" si="0"/>
        <v>0</v>
      </c>
      <c r="J25" s="77">
        <f t="shared" si="1"/>
        <v>0</v>
      </c>
      <c r="K25" s="70"/>
      <c r="L25" s="138">
        <f t="shared" si="3"/>
        <v>0</v>
      </c>
      <c r="M25" s="139">
        <f t="shared" si="4"/>
        <v>0</v>
      </c>
      <c r="N25" s="141">
        <f>2.11*0.91*0.04</f>
        <v>0.076804</v>
      </c>
      <c r="O25" s="140">
        <v>27</v>
      </c>
    </row>
    <row r="26" spans="2:15" ht="22.5" customHeight="1">
      <c r="B26" s="71">
        <f t="shared" si="2"/>
        <v>6</v>
      </c>
      <c r="C26" s="150"/>
      <c r="D26" s="151" t="s">
        <v>41</v>
      </c>
      <c r="E26" s="73" t="s">
        <v>42</v>
      </c>
      <c r="F26" s="74">
        <v>13157</v>
      </c>
      <c r="G26" s="74">
        <v>13989</v>
      </c>
      <c r="H26" s="79">
        <v>0</v>
      </c>
      <c r="I26" s="76">
        <f t="shared" si="0"/>
        <v>0</v>
      </c>
      <c r="J26" s="77">
        <f t="shared" si="1"/>
        <v>0</v>
      </c>
      <c r="K26" s="70"/>
      <c r="L26" s="138">
        <f t="shared" si="3"/>
        <v>0</v>
      </c>
      <c r="M26" s="139">
        <f t="shared" si="4"/>
        <v>0</v>
      </c>
      <c r="N26" s="141">
        <v>0.14</v>
      </c>
      <c r="O26" s="140">
        <v>36</v>
      </c>
    </row>
    <row r="27" spans="2:15" ht="22.5" customHeight="1">
      <c r="B27" s="71">
        <f t="shared" si="2"/>
        <v>7</v>
      </c>
      <c r="C27" s="150"/>
      <c r="D27" s="151"/>
      <c r="E27" s="73" t="s">
        <v>43</v>
      </c>
      <c r="F27" s="74">
        <v>16300</v>
      </c>
      <c r="G27" s="80">
        <v>17739</v>
      </c>
      <c r="H27" s="79">
        <v>0</v>
      </c>
      <c r="I27" s="76">
        <f t="shared" si="0"/>
        <v>0</v>
      </c>
      <c r="J27" s="77">
        <f t="shared" si="1"/>
        <v>0</v>
      </c>
      <c r="K27" s="70"/>
      <c r="L27" s="138">
        <f t="shared" si="3"/>
        <v>0</v>
      </c>
      <c r="M27" s="139">
        <f t="shared" si="4"/>
        <v>0</v>
      </c>
      <c r="N27" s="141">
        <v>0.22</v>
      </c>
      <c r="O27" s="140">
        <v>50</v>
      </c>
    </row>
    <row r="28" spans="2:15" ht="48" customHeight="1">
      <c r="B28" s="71">
        <f t="shared" si="2"/>
        <v>8</v>
      </c>
      <c r="C28" s="81"/>
      <c r="D28" s="82" t="s">
        <v>44</v>
      </c>
      <c r="E28" s="83" t="s">
        <v>45</v>
      </c>
      <c r="F28" s="74">
        <v>6904</v>
      </c>
      <c r="G28" s="80">
        <v>8807</v>
      </c>
      <c r="H28" s="79">
        <v>0</v>
      </c>
      <c r="I28" s="76">
        <f t="shared" si="0"/>
        <v>0</v>
      </c>
      <c r="J28" s="77">
        <f t="shared" si="1"/>
        <v>0</v>
      </c>
      <c r="K28" s="70"/>
      <c r="L28" s="138">
        <f t="shared" si="3"/>
        <v>0</v>
      </c>
      <c r="M28" s="139">
        <f t="shared" si="4"/>
        <v>0</v>
      </c>
      <c r="N28" s="141">
        <f>0.52*0.5*0.055+0.52*0.5*0.02+0.44*0.5*0.1</f>
        <v>0.0415</v>
      </c>
      <c r="O28" s="140">
        <v>15</v>
      </c>
    </row>
    <row r="29" spans="2:15" ht="48" customHeight="1">
      <c r="B29" s="71">
        <f t="shared" si="2"/>
        <v>9</v>
      </c>
      <c r="C29" s="81"/>
      <c r="D29" s="82" t="s">
        <v>46</v>
      </c>
      <c r="E29" s="83" t="s">
        <v>45</v>
      </c>
      <c r="F29" s="74">
        <v>10011</v>
      </c>
      <c r="G29" s="80">
        <v>12165</v>
      </c>
      <c r="H29" s="79">
        <v>0</v>
      </c>
      <c r="I29" s="76">
        <f t="shared" si="0"/>
        <v>0</v>
      </c>
      <c r="J29" s="77">
        <f t="shared" si="1"/>
        <v>0</v>
      </c>
      <c r="K29" s="70"/>
      <c r="L29" s="138">
        <f t="shared" si="3"/>
        <v>0</v>
      </c>
      <c r="M29" s="139">
        <f t="shared" si="4"/>
        <v>0</v>
      </c>
      <c r="N29" s="141">
        <f>0.52*0.5*0.055+0.52*0.5*0.02+0.44*0.5*0.12</f>
        <v>0.045899999999999996</v>
      </c>
      <c r="O29" s="140">
        <v>21</v>
      </c>
    </row>
    <row r="30" spans="2:15" ht="48" customHeight="1">
      <c r="B30" s="71">
        <f t="shared" si="2"/>
        <v>10</v>
      </c>
      <c r="C30" s="81"/>
      <c r="D30" s="84" t="s">
        <v>47</v>
      </c>
      <c r="E30" s="83" t="s">
        <v>48</v>
      </c>
      <c r="F30" s="74">
        <v>4194</v>
      </c>
      <c r="G30" s="80">
        <v>6002</v>
      </c>
      <c r="H30" s="79">
        <v>0</v>
      </c>
      <c r="I30" s="76">
        <f t="shared" si="0"/>
        <v>0</v>
      </c>
      <c r="J30" s="77">
        <f t="shared" si="1"/>
        <v>0</v>
      </c>
      <c r="K30" s="70"/>
      <c r="L30" s="138">
        <f t="shared" si="3"/>
        <v>0</v>
      </c>
      <c r="M30" s="139">
        <f t="shared" si="4"/>
        <v>0</v>
      </c>
      <c r="N30" s="141">
        <f>0.6*0.8*0.05</f>
        <v>0.024</v>
      </c>
      <c r="O30" s="140">
        <v>7</v>
      </c>
    </row>
    <row r="31" spans="2:15" ht="48" customHeight="1">
      <c r="B31" s="71">
        <f t="shared" si="2"/>
        <v>11</v>
      </c>
      <c r="C31" s="81"/>
      <c r="D31" s="82" t="s">
        <v>49</v>
      </c>
      <c r="E31" s="83" t="s">
        <v>50</v>
      </c>
      <c r="F31" s="74">
        <v>10820</v>
      </c>
      <c r="G31" s="80">
        <v>13228</v>
      </c>
      <c r="H31" s="79">
        <v>0</v>
      </c>
      <c r="I31" s="76">
        <f t="shared" si="0"/>
        <v>0</v>
      </c>
      <c r="J31" s="77">
        <f t="shared" si="1"/>
        <v>0</v>
      </c>
      <c r="K31" s="70"/>
      <c r="L31" s="138">
        <f t="shared" si="3"/>
        <v>0</v>
      </c>
      <c r="M31" s="139">
        <f t="shared" si="4"/>
        <v>0</v>
      </c>
      <c r="N31" s="141">
        <f>0.81*0.45*0.25</f>
        <v>0.09112500000000001</v>
      </c>
      <c r="O31" s="140">
        <v>21</v>
      </c>
    </row>
    <row r="32" spans="2:15" ht="48" customHeight="1">
      <c r="B32" s="71">
        <f t="shared" si="2"/>
        <v>12</v>
      </c>
      <c r="C32" s="81"/>
      <c r="D32" s="82" t="s">
        <v>51</v>
      </c>
      <c r="E32" s="83" t="s">
        <v>52</v>
      </c>
      <c r="F32" s="74">
        <v>8621</v>
      </c>
      <c r="G32" s="80">
        <v>12239</v>
      </c>
      <c r="H32" s="79">
        <v>0</v>
      </c>
      <c r="I32" s="76">
        <f t="shared" si="0"/>
        <v>0</v>
      </c>
      <c r="J32" s="77">
        <f t="shared" si="1"/>
        <v>0</v>
      </c>
      <c r="K32" s="70"/>
      <c r="L32" s="138">
        <f t="shared" si="3"/>
        <v>0</v>
      </c>
      <c r="M32" s="139">
        <f t="shared" si="4"/>
        <v>0</v>
      </c>
      <c r="N32" s="141">
        <f>0.75*0.57*0.25</f>
        <v>0.106875</v>
      </c>
      <c r="O32" s="140">
        <v>23</v>
      </c>
    </row>
    <row r="33" spans="2:15" ht="48.75" customHeight="1">
      <c r="B33" s="71">
        <f t="shared" si="2"/>
        <v>13</v>
      </c>
      <c r="C33" s="85"/>
      <c r="D33" s="82" t="s">
        <v>53</v>
      </c>
      <c r="E33" s="83" t="s">
        <v>54</v>
      </c>
      <c r="F33" s="74">
        <v>21148</v>
      </c>
      <c r="G33" s="80">
        <v>26296</v>
      </c>
      <c r="H33" s="79">
        <v>0</v>
      </c>
      <c r="I33" s="76">
        <f t="shared" si="0"/>
        <v>0</v>
      </c>
      <c r="J33" s="77">
        <f t="shared" si="1"/>
        <v>0</v>
      </c>
      <c r="K33" s="70"/>
      <c r="L33" s="138">
        <f t="shared" si="3"/>
        <v>0</v>
      </c>
      <c r="M33" s="139">
        <f t="shared" si="4"/>
        <v>0</v>
      </c>
      <c r="N33" s="141">
        <f>0.91*0.45*0.055+0.9*0.75*0.25</f>
        <v>0.1912725</v>
      </c>
      <c r="O33" s="140">
        <v>46</v>
      </c>
    </row>
    <row r="34" spans="2:15" ht="47.25" customHeight="1">
      <c r="B34" s="71">
        <f t="shared" si="2"/>
        <v>14</v>
      </c>
      <c r="C34" s="86"/>
      <c r="D34" s="87" t="s">
        <v>55</v>
      </c>
      <c r="E34" s="83" t="s">
        <v>56</v>
      </c>
      <c r="F34" s="74">
        <v>33412</v>
      </c>
      <c r="G34" s="80">
        <v>44957</v>
      </c>
      <c r="H34" s="79">
        <v>0</v>
      </c>
      <c r="I34" s="76">
        <f t="shared" si="0"/>
        <v>0</v>
      </c>
      <c r="J34" s="77">
        <f t="shared" si="1"/>
        <v>0</v>
      </c>
      <c r="K34" s="70"/>
      <c r="L34" s="138">
        <f t="shared" si="3"/>
        <v>0</v>
      </c>
      <c r="M34" s="139">
        <f t="shared" si="4"/>
        <v>0</v>
      </c>
      <c r="N34" s="141">
        <f>1.99*0.57*0.055+1.99*0.57*0.3</f>
        <v>0.40267649999999994</v>
      </c>
      <c r="O34" s="140">
        <v>88</v>
      </c>
    </row>
    <row r="35" spans="2:15" ht="51.75" customHeight="1">
      <c r="B35" s="71">
        <f t="shared" si="2"/>
        <v>15</v>
      </c>
      <c r="C35" s="86"/>
      <c r="D35" s="82" t="s">
        <v>57</v>
      </c>
      <c r="E35" s="83" t="s">
        <v>58</v>
      </c>
      <c r="F35" s="74">
        <v>11239</v>
      </c>
      <c r="G35" s="80">
        <v>16661</v>
      </c>
      <c r="H35" s="79">
        <v>0</v>
      </c>
      <c r="I35" s="76">
        <f t="shared" si="0"/>
        <v>0</v>
      </c>
      <c r="J35" s="77">
        <f t="shared" si="1"/>
        <v>0</v>
      </c>
      <c r="K35" s="70"/>
      <c r="L35" s="138">
        <f t="shared" si="3"/>
        <v>0</v>
      </c>
      <c r="M35" s="139">
        <f t="shared" si="4"/>
        <v>0</v>
      </c>
      <c r="N35" s="141">
        <f>0.5*0.56*0.055+1.4*0.56*0.25</f>
        <v>0.2114</v>
      </c>
      <c r="O35" s="140">
        <v>37</v>
      </c>
    </row>
    <row r="36" spans="2:15" ht="24" customHeight="1">
      <c r="B36" s="71">
        <f t="shared" si="2"/>
        <v>16</v>
      </c>
      <c r="C36" s="144"/>
      <c r="D36" s="152" t="s">
        <v>59</v>
      </c>
      <c r="E36" s="73" t="s">
        <v>60</v>
      </c>
      <c r="F36" s="74">
        <v>18408</v>
      </c>
      <c r="G36" s="80">
        <v>23321</v>
      </c>
      <c r="H36" s="79">
        <v>0</v>
      </c>
      <c r="I36" s="76">
        <f t="shared" si="0"/>
        <v>0</v>
      </c>
      <c r="J36" s="77">
        <f t="shared" si="1"/>
        <v>0</v>
      </c>
      <c r="K36" s="70"/>
      <c r="L36" s="138">
        <f t="shared" si="3"/>
        <v>0</v>
      </c>
      <c r="M36" s="139">
        <f t="shared" si="4"/>
        <v>0</v>
      </c>
      <c r="N36" s="141">
        <f>0.5*0.56*0.055+1.28*0.56*0.25</f>
        <v>0.19460000000000002</v>
      </c>
      <c r="O36" s="140">
        <v>39</v>
      </c>
    </row>
    <row r="37" spans="2:15" ht="24" customHeight="1">
      <c r="B37" s="71">
        <f t="shared" si="2"/>
        <v>17</v>
      </c>
      <c r="C37" s="145"/>
      <c r="D37" s="152"/>
      <c r="E37" s="83" t="s">
        <v>58</v>
      </c>
      <c r="F37" s="74">
        <v>19038</v>
      </c>
      <c r="G37" s="80">
        <v>24830</v>
      </c>
      <c r="H37" s="79">
        <v>0</v>
      </c>
      <c r="I37" s="76">
        <f t="shared" si="0"/>
        <v>0</v>
      </c>
      <c r="J37" s="77">
        <f t="shared" si="1"/>
        <v>0</v>
      </c>
      <c r="K37" s="70"/>
      <c r="L37" s="138">
        <f t="shared" si="3"/>
        <v>0</v>
      </c>
      <c r="M37" s="139">
        <f t="shared" si="4"/>
        <v>0</v>
      </c>
      <c r="N37" s="141">
        <f>0.5*0.56*0.055+1.4*0.56*0.25</f>
        <v>0.2114</v>
      </c>
      <c r="O37" s="140">
        <v>41</v>
      </c>
    </row>
    <row r="38" spans="2:15" ht="29.25" customHeight="1">
      <c r="B38" s="71">
        <f t="shared" si="2"/>
        <v>18</v>
      </c>
      <c r="C38" s="144"/>
      <c r="D38" s="152" t="s">
        <v>61</v>
      </c>
      <c r="E38" s="73" t="s">
        <v>60</v>
      </c>
      <c r="F38" s="74">
        <v>19349</v>
      </c>
      <c r="G38" s="80">
        <v>24533</v>
      </c>
      <c r="H38" s="79">
        <v>0</v>
      </c>
      <c r="I38" s="76">
        <f t="shared" si="0"/>
        <v>0</v>
      </c>
      <c r="J38" s="77">
        <f t="shared" si="1"/>
        <v>0</v>
      </c>
      <c r="K38" s="70"/>
      <c r="L38" s="138">
        <f t="shared" si="3"/>
        <v>0</v>
      </c>
      <c r="M38" s="139">
        <f t="shared" si="4"/>
        <v>0</v>
      </c>
      <c r="N38" s="141">
        <f>0.5*0.56*0.055+1.28*0.56*0.3</f>
        <v>0.23044000000000003</v>
      </c>
      <c r="O38" s="140">
        <v>52</v>
      </c>
    </row>
    <row r="39" spans="2:15" ht="24" customHeight="1">
      <c r="B39" s="71">
        <f t="shared" si="2"/>
        <v>19</v>
      </c>
      <c r="C39" s="145"/>
      <c r="D39" s="152"/>
      <c r="E39" s="83" t="s">
        <v>58</v>
      </c>
      <c r="F39" s="74">
        <v>19813</v>
      </c>
      <c r="G39" s="80">
        <v>25412</v>
      </c>
      <c r="H39" s="79">
        <v>0</v>
      </c>
      <c r="I39" s="76">
        <f t="shared" si="0"/>
        <v>0</v>
      </c>
      <c r="J39" s="77">
        <f t="shared" si="1"/>
        <v>0</v>
      </c>
      <c r="K39" s="70"/>
      <c r="L39" s="138">
        <f t="shared" si="3"/>
        <v>0</v>
      </c>
      <c r="M39" s="139">
        <f t="shared" si="4"/>
        <v>0</v>
      </c>
      <c r="N39" s="141">
        <f>0.5*0.56*0.055+1.41*0.56*0.3</f>
        <v>0.25228</v>
      </c>
      <c r="O39" s="140">
        <v>55</v>
      </c>
    </row>
    <row r="40" spans="2:15" ht="48" customHeight="1">
      <c r="B40" s="71">
        <f t="shared" si="2"/>
        <v>20</v>
      </c>
      <c r="C40" s="81"/>
      <c r="D40" s="82" t="s">
        <v>62</v>
      </c>
      <c r="E40" s="83" t="s">
        <v>63</v>
      </c>
      <c r="F40" s="74">
        <v>6530</v>
      </c>
      <c r="G40" s="80">
        <v>10102</v>
      </c>
      <c r="H40" s="79">
        <v>0</v>
      </c>
      <c r="I40" s="76">
        <f t="shared" si="0"/>
        <v>0</v>
      </c>
      <c r="J40" s="77">
        <f t="shared" si="1"/>
        <v>0</v>
      </c>
      <c r="K40" s="70"/>
      <c r="L40" s="138">
        <f t="shared" si="3"/>
        <v>0</v>
      </c>
      <c r="M40" s="139">
        <f t="shared" si="4"/>
        <v>0</v>
      </c>
      <c r="N40" s="141">
        <f>0.75*0.53*0.25</f>
        <v>0.099375</v>
      </c>
      <c r="O40" s="140">
        <v>19</v>
      </c>
    </row>
    <row r="41" spans="2:15" ht="48.75" customHeight="1">
      <c r="B41" s="71">
        <f t="shared" si="2"/>
        <v>21</v>
      </c>
      <c r="C41" s="81"/>
      <c r="D41" s="84" t="s">
        <v>64</v>
      </c>
      <c r="E41" s="83" t="s">
        <v>65</v>
      </c>
      <c r="F41" s="74">
        <v>6171</v>
      </c>
      <c r="G41" s="80">
        <v>11111</v>
      </c>
      <c r="H41" s="79">
        <v>0</v>
      </c>
      <c r="I41" s="76">
        <f t="shared" si="0"/>
        <v>0</v>
      </c>
      <c r="J41" s="77">
        <f t="shared" si="1"/>
        <v>0</v>
      </c>
      <c r="K41" s="70"/>
      <c r="L41" s="138">
        <f t="shared" si="3"/>
        <v>0</v>
      </c>
      <c r="M41" s="139">
        <f t="shared" si="4"/>
        <v>0</v>
      </c>
      <c r="N41" s="141">
        <f>0.7*0.7*0.25</f>
        <v>0.12249999999999998</v>
      </c>
      <c r="O41" s="140">
        <v>25</v>
      </c>
    </row>
    <row r="42" spans="2:15" ht="25.5" customHeight="1">
      <c r="B42" s="71">
        <f t="shared" si="2"/>
        <v>22</v>
      </c>
      <c r="C42" s="144"/>
      <c r="D42" s="155" t="s">
        <v>66</v>
      </c>
      <c r="E42" s="83" t="s">
        <v>54</v>
      </c>
      <c r="F42" s="74">
        <v>6842</v>
      </c>
      <c r="G42" s="80">
        <v>8077</v>
      </c>
      <c r="H42" s="79">
        <v>0</v>
      </c>
      <c r="I42" s="76">
        <f t="shared" si="0"/>
        <v>0</v>
      </c>
      <c r="J42" s="77">
        <f t="shared" si="1"/>
        <v>0</v>
      </c>
      <c r="K42" s="70"/>
      <c r="L42" s="138">
        <f t="shared" si="3"/>
        <v>0</v>
      </c>
      <c r="M42" s="139">
        <f t="shared" si="4"/>
        <v>0</v>
      </c>
      <c r="N42" s="141">
        <f>0.9*0.75*0.2+0.9*0.45*0.055</f>
        <v>0.157275</v>
      </c>
      <c r="O42" s="140">
        <v>24</v>
      </c>
    </row>
    <row r="43" spans="2:15" ht="25.5" customHeight="1">
      <c r="B43" s="71">
        <f t="shared" si="2"/>
        <v>23</v>
      </c>
      <c r="C43" s="145"/>
      <c r="D43" s="155" t="s">
        <v>66</v>
      </c>
      <c r="E43" s="83" t="s">
        <v>67</v>
      </c>
      <c r="F43" s="74">
        <v>7620</v>
      </c>
      <c r="G43" s="80">
        <v>8918</v>
      </c>
      <c r="H43" s="79">
        <v>0</v>
      </c>
      <c r="I43" s="76">
        <f t="shared" si="0"/>
        <v>0</v>
      </c>
      <c r="J43" s="77">
        <f t="shared" si="1"/>
        <v>0</v>
      </c>
      <c r="K43" s="70"/>
      <c r="L43" s="138">
        <f t="shared" si="3"/>
        <v>0</v>
      </c>
      <c r="M43" s="139">
        <f t="shared" si="4"/>
        <v>0</v>
      </c>
      <c r="N43" s="141">
        <f>0.9*0.75*0.2+0.9*0.57*0.055</f>
        <v>0.163215</v>
      </c>
      <c r="O43" s="140">
        <v>28</v>
      </c>
    </row>
    <row r="44" spans="2:15" ht="26.25" customHeight="1">
      <c r="B44" s="71">
        <f t="shared" si="2"/>
        <v>24</v>
      </c>
      <c r="C44" s="144"/>
      <c r="D44" s="84" t="s">
        <v>68</v>
      </c>
      <c r="E44" s="83" t="s">
        <v>69</v>
      </c>
      <c r="F44" s="74">
        <v>7356</v>
      </c>
      <c r="G44" s="80">
        <v>11663</v>
      </c>
      <c r="H44" s="79">
        <v>0</v>
      </c>
      <c r="I44" s="76">
        <f t="shared" si="0"/>
        <v>0</v>
      </c>
      <c r="J44" s="77">
        <f>H44*I44</f>
        <v>0</v>
      </c>
      <c r="K44" s="70"/>
      <c r="L44" s="138">
        <f t="shared" si="3"/>
        <v>0</v>
      </c>
      <c r="M44" s="139">
        <f t="shared" si="4"/>
        <v>0</v>
      </c>
      <c r="N44" s="141">
        <f>0.91*1.28*0.02</f>
        <v>0.023296</v>
      </c>
      <c r="O44" s="140">
        <v>17.5</v>
      </c>
    </row>
    <row r="45" spans="2:15" ht="26.25" customHeight="1">
      <c r="B45" s="71">
        <f t="shared" si="2"/>
        <v>25</v>
      </c>
      <c r="C45" s="156"/>
      <c r="D45" s="84" t="s">
        <v>68</v>
      </c>
      <c r="E45" s="83" t="s">
        <v>70</v>
      </c>
      <c r="F45" s="74">
        <v>4543</v>
      </c>
      <c r="G45" s="80">
        <v>6623</v>
      </c>
      <c r="H45" s="79">
        <v>0</v>
      </c>
      <c r="I45" s="76">
        <f t="shared" si="0"/>
        <v>0</v>
      </c>
      <c r="J45" s="77">
        <f t="shared" si="1"/>
        <v>0</v>
      </c>
      <c r="K45" s="70"/>
      <c r="L45" s="138">
        <f t="shared" si="3"/>
        <v>0</v>
      </c>
      <c r="M45" s="139">
        <f t="shared" si="4"/>
        <v>0</v>
      </c>
      <c r="N45" s="141">
        <f>0.41*1.28*0.02</f>
        <v>0.010495999999999998</v>
      </c>
      <c r="O45" s="140">
        <v>9</v>
      </c>
    </row>
    <row r="46" spans="2:15" ht="26.25" customHeight="1">
      <c r="B46" s="71">
        <f t="shared" si="2"/>
        <v>26</v>
      </c>
      <c r="C46" s="145"/>
      <c r="D46" s="84" t="s">
        <v>47</v>
      </c>
      <c r="E46" s="83" t="s">
        <v>71</v>
      </c>
      <c r="F46" s="74">
        <v>4677</v>
      </c>
      <c r="G46" s="80">
        <v>7277</v>
      </c>
      <c r="H46" s="79">
        <v>0</v>
      </c>
      <c r="I46" s="76">
        <f t="shared" si="0"/>
        <v>0</v>
      </c>
      <c r="J46" s="77">
        <f t="shared" si="1"/>
        <v>0</v>
      </c>
      <c r="K46" s="70"/>
      <c r="L46" s="138">
        <f t="shared" si="3"/>
        <v>0</v>
      </c>
      <c r="M46" s="139">
        <f t="shared" si="4"/>
        <v>0</v>
      </c>
      <c r="N46" s="141">
        <f>0.51*1.28*0.02</f>
        <v>0.013056000000000002</v>
      </c>
      <c r="O46" s="140">
        <v>9</v>
      </c>
    </row>
    <row r="47" spans="2:15" ht="42" customHeight="1" hidden="1">
      <c r="B47" s="71"/>
      <c r="C47" s="81"/>
      <c r="D47" s="82" t="s">
        <v>72</v>
      </c>
      <c r="E47" s="83" t="s">
        <v>73</v>
      </c>
      <c r="F47" s="74">
        <v>52724</v>
      </c>
      <c r="G47" s="80">
        <v>7280</v>
      </c>
      <c r="H47" s="79">
        <v>0</v>
      </c>
      <c r="I47" s="76">
        <f t="shared" si="0"/>
        <v>0</v>
      </c>
      <c r="J47" s="77">
        <f t="shared" si="1"/>
        <v>0</v>
      </c>
      <c r="K47" s="70"/>
      <c r="L47" s="138">
        <f t="shared" si="3"/>
        <v>0</v>
      </c>
      <c r="M47" s="139">
        <f t="shared" si="4"/>
        <v>0</v>
      </c>
      <c r="N47" s="141"/>
      <c r="O47" s="140"/>
    </row>
    <row r="48" spans="2:15" ht="42" customHeight="1" hidden="1">
      <c r="B48" s="71"/>
      <c r="C48" s="81"/>
      <c r="D48" s="82" t="s">
        <v>74</v>
      </c>
      <c r="E48" s="83" t="s">
        <v>75</v>
      </c>
      <c r="F48" s="74">
        <v>52724</v>
      </c>
      <c r="G48" s="80">
        <v>0</v>
      </c>
      <c r="H48" s="79">
        <v>0</v>
      </c>
      <c r="I48" s="76">
        <f t="shared" si="0"/>
        <v>0</v>
      </c>
      <c r="J48" s="77">
        <f t="shared" si="1"/>
        <v>0</v>
      </c>
      <c r="K48" s="70"/>
      <c r="L48" s="138">
        <f t="shared" si="3"/>
        <v>0</v>
      </c>
      <c r="M48" s="139">
        <f t="shared" si="4"/>
        <v>0</v>
      </c>
      <c r="N48" s="141"/>
      <c r="O48" s="140"/>
    </row>
    <row r="49" spans="2:15" ht="33.75" customHeight="1">
      <c r="B49" s="71">
        <f>B46+1</f>
        <v>27</v>
      </c>
      <c r="C49" s="144"/>
      <c r="D49" s="88" t="s">
        <v>76</v>
      </c>
      <c r="E49" s="83" t="s">
        <v>77</v>
      </c>
      <c r="F49" s="74">
        <v>24452</v>
      </c>
      <c r="G49" s="80">
        <v>31960</v>
      </c>
      <c r="H49" s="79">
        <v>0</v>
      </c>
      <c r="I49" s="76">
        <f t="shared" si="0"/>
        <v>0</v>
      </c>
      <c r="J49" s="77">
        <f t="shared" si="1"/>
        <v>0</v>
      </c>
      <c r="K49" s="70"/>
      <c r="L49" s="138">
        <f t="shared" si="3"/>
        <v>0</v>
      </c>
      <c r="M49" s="139">
        <f t="shared" si="4"/>
        <v>0</v>
      </c>
      <c r="N49" s="141">
        <f>0.9*0.44*0.055+0.9*0.44*0.07+0.45*2.09*0.25</f>
        <v>0.284625</v>
      </c>
      <c r="O49" s="140">
        <v>79</v>
      </c>
    </row>
    <row r="50" spans="2:15" ht="33.75" customHeight="1">
      <c r="B50" s="71">
        <f t="shared" si="2"/>
        <v>28</v>
      </c>
      <c r="C50" s="145"/>
      <c r="D50" s="88" t="s">
        <v>78</v>
      </c>
      <c r="E50" s="83" t="s">
        <v>79</v>
      </c>
      <c r="F50" s="74">
        <v>26168</v>
      </c>
      <c r="G50" s="80">
        <v>33818</v>
      </c>
      <c r="H50" s="79">
        <v>0</v>
      </c>
      <c r="I50" s="76">
        <f t="shared" si="0"/>
        <v>0</v>
      </c>
      <c r="J50" s="77">
        <f t="shared" si="1"/>
        <v>0</v>
      </c>
      <c r="K50" s="70"/>
      <c r="L50" s="138">
        <f t="shared" si="3"/>
        <v>0</v>
      </c>
      <c r="M50" s="139">
        <f t="shared" si="4"/>
        <v>0</v>
      </c>
      <c r="N50" s="141">
        <f>0.9*0.56*0.055+0.9*0.56*0.07+0.56*2.09*0.25</f>
        <v>0.3556</v>
      </c>
      <c r="O50" s="140">
        <v>91</v>
      </c>
    </row>
    <row r="51" spans="2:15" ht="33.75" customHeight="1">
      <c r="B51" s="71">
        <f t="shared" si="2"/>
        <v>29</v>
      </c>
      <c r="C51" s="144"/>
      <c r="D51" s="89" t="s">
        <v>80</v>
      </c>
      <c r="E51" s="83" t="s">
        <v>77</v>
      </c>
      <c r="F51" s="74">
        <v>27230</v>
      </c>
      <c r="G51" s="80">
        <v>34737</v>
      </c>
      <c r="H51" s="79">
        <v>0</v>
      </c>
      <c r="I51" s="76">
        <f t="shared" si="0"/>
        <v>0</v>
      </c>
      <c r="J51" s="77">
        <f t="shared" si="1"/>
        <v>0</v>
      </c>
      <c r="K51" s="70"/>
      <c r="L51" s="138">
        <f t="shared" si="3"/>
        <v>0</v>
      </c>
      <c r="M51" s="139">
        <f t="shared" si="4"/>
        <v>0</v>
      </c>
      <c r="N51" s="141">
        <f>0.9*0.44*0.055+0.9*0.44*0.07+0.45*2.09*0.3</f>
        <v>0.33165</v>
      </c>
      <c r="O51" s="140">
        <v>91</v>
      </c>
    </row>
    <row r="52" spans="2:15" ht="33.75" customHeight="1">
      <c r="B52" s="71">
        <f t="shared" si="2"/>
        <v>30</v>
      </c>
      <c r="C52" s="145"/>
      <c r="D52" s="89" t="s">
        <v>81</v>
      </c>
      <c r="E52" s="83" t="s">
        <v>79</v>
      </c>
      <c r="F52" s="74">
        <v>30753</v>
      </c>
      <c r="G52" s="80">
        <v>38470</v>
      </c>
      <c r="H52" s="79">
        <v>0</v>
      </c>
      <c r="I52" s="76">
        <f t="shared" si="0"/>
        <v>0</v>
      </c>
      <c r="J52" s="77">
        <f t="shared" si="1"/>
        <v>0</v>
      </c>
      <c r="K52" s="70"/>
      <c r="L52" s="138">
        <f t="shared" si="3"/>
        <v>0</v>
      </c>
      <c r="M52" s="139">
        <f t="shared" si="4"/>
        <v>0</v>
      </c>
      <c r="N52" s="141">
        <f>0.9*0.56*0.055+0.9*0.56*0.07+0.56*2.09*0.3</f>
        <v>0.41412000000000004</v>
      </c>
      <c r="O52" s="140">
        <v>114</v>
      </c>
    </row>
    <row r="53" spans="2:15" ht="33.75" customHeight="1">
      <c r="B53" s="71">
        <f t="shared" si="2"/>
        <v>31</v>
      </c>
      <c r="C53" s="144"/>
      <c r="D53" s="90" t="s">
        <v>82</v>
      </c>
      <c r="E53" s="83" t="s">
        <v>83</v>
      </c>
      <c r="F53" s="74">
        <v>43849</v>
      </c>
      <c r="G53" s="80">
        <v>52964</v>
      </c>
      <c r="H53" s="79">
        <v>0</v>
      </c>
      <c r="I53" s="76">
        <f t="shared" si="0"/>
        <v>0</v>
      </c>
      <c r="J53" s="77">
        <f t="shared" si="1"/>
        <v>0</v>
      </c>
      <c r="K53" s="70"/>
      <c r="L53" s="138">
        <f t="shared" si="3"/>
        <v>0</v>
      </c>
      <c r="M53" s="139">
        <f t="shared" si="4"/>
        <v>0</v>
      </c>
      <c r="N53" s="141">
        <f>0.9*0.6*0.055+0.9*0.6*0.07+0.6*2.09*0.3</f>
        <v>0.44369999999999993</v>
      </c>
      <c r="O53" s="140">
        <v>148</v>
      </c>
    </row>
    <row r="54" spans="2:15" ht="33.75" customHeight="1" thickBot="1">
      <c r="B54" s="142">
        <f t="shared" si="2"/>
        <v>32</v>
      </c>
      <c r="C54" s="146"/>
      <c r="D54" s="91" t="s">
        <v>84</v>
      </c>
      <c r="E54" s="92" t="s">
        <v>83</v>
      </c>
      <c r="F54" s="93">
        <v>46221</v>
      </c>
      <c r="G54" s="94">
        <v>51502</v>
      </c>
      <c r="H54" s="95">
        <v>0</v>
      </c>
      <c r="I54" s="96">
        <f t="shared" si="0"/>
        <v>0</v>
      </c>
      <c r="J54" s="97">
        <f t="shared" si="1"/>
        <v>0</v>
      </c>
      <c r="K54" s="70"/>
      <c r="L54" s="138">
        <f t="shared" si="3"/>
        <v>0</v>
      </c>
      <c r="M54" s="139">
        <f t="shared" si="4"/>
        <v>0</v>
      </c>
      <c r="N54" s="141">
        <f>0.9*0.6*0.055+0.9*0.6*0.07+0.6*2.09*0.3</f>
        <v>0.44369999999999993</v>
      </c>
      <c r="O54" s="140">
        <v>150</v>
      </c>
    </row>
    <row r="55" spans="2:15" s="6" customFormat="1" ht="16.5" customHeight="1">
      <c r="B55" s="98"/>
      <c r="C55" s="98"/>
      <c r="D55" s="143" t="s">
        <v>105</v>
      </c>
      <c r="E55" s="99"/>
      <c r="F55" s="100">
        <f>SUMPRODUCT(F21:F54,$H21:$H54)</f>
        <v>0</v>
      </c>
      <c r="G55" s="100">
        <f>SUMPRODUCT(H21:H54,$G21:$G54)</f>
        <v>0</v>
      </c>
      <c r="H55" s="101"/>
      <c r="I55" s="102" t="s">
        <v>85</v>
      </c>
      <c r="J55" s="103">
        <f>SUM(J21:J54)</f>
        <v>0</v>
      </c>
      <c r="L55" s="104">
        <f>SUM(L21:L54)</f>
        <v>0</v>
      </c>
      <c r="M55" s="104">
        <f>SUM(M21:M54)</f>
        <v>0</v>
      </c>
      <c r="N55" s="7"/>
      <c r="O55" s="8"/>
    </row>
    <row r="56" spans="2:15" s="6" customFormat="1" ht="14.25" customHeight="1">
      <c r="B56" s="98"/>
      <c r="C56" s="98"/>
      <c r="D56" s="105" t="s">
        <v>86</v>
      </c>
      <c r="E56" s="106">
        <v>0.13</v>
      </c>
      <c r="F56" s="107" t="str">
        <f>IF($F$55&gt;=1200000,"22%",IF($F$55&gt;=900000,"19%",IF($F$55&gt;=600000,"16%",IF($F$55&gt;=300000,"13%","0%"))))</f>
        <v>0%</v>
      </c>
      <c r="G56" s="107" t="str">
        <f>IF($G$55&gt;=1200000,"22%",IF($G$55&gt;=900000,"19%",IF($G$55&gt;=600000,"16%",IF($G$55&gt;=300000,"13%","0%"))))</f>
        <v>0%</v>
      </c>
      <c r="H56" s="108"/>
      <c r="I56" s="109"/>
      <c r="J56" s="110"/>
      <c r="L56" s="111" t="s">
        <v>87</v>
      </c>
      <c r="M56" s="111" t="s">
        <v>88</v>
      </c>
      <c r="N56" s="7"/>
      <c r="O56" s="8"/>
    </row>
    <row r="57" spans="2:15" s="6" customFormat="1" ht="14.25" customHeight="1">
      <c r="B57" s="98"/>
      <c r="C57" s="98"/>
      <c r="D57" s="105" t="s">
        <v>89</v>
      </c>
      <c r="E57" s="106">
        <v>0.16</v>
      </c>
      <c r="F57" s="112">
        <f>F55-F55*F56</f>
        <v>0</v>
      </c>
      <c r="G57" s="113">
        <f>G55-G55*G56</f>
        <v>0</v>
      </c>
      <c r="H57" s="114"/>
      <c r="I57" s="110"/>
      <c r="J57" s="115"/>
      <c r="L57" s="5"/>
      <c r="N57" s="7"/>
      <c r="O57" s="8"/>
    </row>
    <row r="58" spans="2:15" s="6" customFormat="1" ht="14.25" customHeight="1">
      <c r="B58" s="98"/>
      <c r="C58" s="98"/>
      <c r="D58" s="105" t="s">
        <v>90</v>
      </c>
      <c r="E58" s="106">
        <v>0.19</v>
      </c>
      <c r="F58" s="116"/>
      <c r="G58" s="117"/>
      <c r="H58" s="109"/>
      <c r="I58" s="109"/>
      <c r="J58" s="115"/>
      <c r="L58" s="5"/>
      <c r="N58" s="7"/>
      <c r="O58" s="8"/>
    </row>
    <row r="59" spans="2:15" s="6" customFormat="1" ht="14.25" customHeight="1">
      <c r="B59" s="118"/>
      <c r="C59" s="118"/>
      <c r="D59" s="105" t="s">
        <v>91</v>
      </c>
      <c r="E59" s="106">
        <v>0.22</v>
      </c>
      <c r="F59" s="116"/>
      <c r="G59" s="117"/>
      <c r="H59" s="119"/>
      <c r="I59" s="107"/>
      <c r="J59" s="115"/>
      <c r="L59" s="5"/>
      <c r="N59" s="7"/>
      <c r="O59" s="8"/>
    </row>
    <row r="60" spans="3:15" s="6" customFormat="1" ht="15">
      <c r="C60" s="120"/>
      <c r="E60" s="5"/>
      <c r="F60" s="121"/>
      <c r="G60" s="121"/>
      <c r="H60" s="122" t="s">
        <v>92</v>
      </c>
      <c r="I60" s="123"/>
      <c r="J60" s="124">
        <f>M55</f>
        <v>0</v>
      </c>
      <c r="L60" s="5"/>
      <c r="N60" s="7"/>
      <c r="O60" s="8"/>
    </row>
    <row r="61" spans="5:15" s="6" customFormat="1" ht="15">
      <c r="E61" s="5"/>
      <c r="F61" s="121"/>
      <c r="G61" s="121"/>
      <c r="H61" s="122" t="s">
        <v>93</v>
      </c>
      <c r="I61" s="123"/>
      <c r="J61" s="124">
        <f>L55</f>
        <v>0</v>
      </c>
      <c r="K61" s="5"/>
      <c r="L61" s="5"/>
      <c r="N61" s="7"/>
      <c r="O61" s="8"/>
    </row>
    <row r="62" spans="5:15" s="125" customFormat="1" ht="4.5" customHeight="1">
      <c r="E62" s="126"/>
      <c r="F62" s="127"/>
      <c r="H62" s="127"/>
      <c r="I62" s="127"/>
      <c r="J62" s="126"/>
      <c r="K62" s="126"/>
      <c r="L62" s="5"/>
      <c r="M62" s="6"/>
      <c r="N62" s="7"/>
      <c r="O62" s="8"/>
    </row>
    <row r="63" spans="5:15" s="6" customFormat="1" ht="15">
      <c r="E63" s="5"/>
      <c r="F63" s="121"/>
      <c r="G63" s="121"/>
      <c r="H63" s="137" t="s">
        <v>94</v>
      </c>
      <c r="I63" s="128" t="s">
        <v>103</v>
      </c>
      <c r="J63" s="34"/>
      <c r="L63" s="5"/>
      <c r="N63" s="7"/>
      <c r="O63" s="8"/>
    </row>
    <row r="64" spans="5:15" s="6" customFormat="1" ht="15">
      <c r="E64" s="5"/>
      <c r="F64" s="121"/>
      <c r="G64" s="121"/>
      <c r="H64" s="137" t="s">
        <v>95</v>
      </c>
      <c r="I64" s="128" t="s">
        <v>102</v>
      </c>
      <c r="J64" s="34"/>
      <c r="L64" s="5"/>
      <c r="N64" s="7"/>
      <c r="O64" s="8"/>
    </row>
    <row r="65" spans="5:15" s="6" customFormat="1" ht="15">
      <c r="E65" s="5"/>
      <c r="F65" s="121"/>
      <c r="G65" s="121"/>
      <c r="H65" s="137" t="s">
        <v>101</v>
      </c>
      <c r="I65" s="129"/>
      <c r="J65" s="124">
        <f>(F55)/10</f>
        <v>0</v>
      </c>
      <c r="L65" s="5"/>
      <c r="N65" s="7"/>
      <c r="O65" s="8"/>
    </row>
    <row r="66" spans="2:16" s="6" customFormat="1" ht="15.75">
      <c r="B66" s="157" t="s">
        <v>96</v>
      </c>
      <c r="C66" s="157"/>
      <c r="D66" s="157"/>
      <c r="E66" s="157"/>
      <c r="F66" s="158"/>
      <c r="G66" s="158"/>
      <c r="H66" s="130"/>
      <c r="I66" s="130"/>
      <c r="J66" s="130"/>
      <c r="K66" s="5"/>
      <c r="L66" s="5"/>
      <c r="N66" s="7"/>
      <c r="O66" s="8"/>
      <c r="P66" s="8"/>
    </row>
    <row r="67" spans="2:16" s="6" customFormat="1" ht="15.75">
      <c r="B67" s="159">
        <f>J55</f>
        <v>0</v>
      </c>
      <c r="C67" s="159"/>
      <c r="D67" s="157" t="str">
        <f>SUBSTITUTE(PROPER(INDEX(n_4,MID(TEXT(B67,n0),1,1)+1)&amp;INDEX(n0x,MID(TEXT(B67,n0),2,1)+1,MID(TEXT(B67,n0),3,1)+1)&amp;IF(-MID(TEXT(B67,n0),1,3),"миллиард"&amp;VLOOKUP(MID(TEXT(B67,n0),3,1)*AND(MID(TEXT(B67,n0),2,1)-1),мил,2),"")&amp;INDEX(n_4,MID(TEXT(B67,n0),4,1)+1)&amp;INDEX(n0x,MID(TEXT(B67,n0),5,1)+1,MID(TEXT(B67,n0),6,1)+1)&amp;IF(-MID(TEXT(B67,n0),4,3),"миллион"&amp;VLOOKUP(MID(TEXT(B67,n0),6,1)*AND(MID(TEXT(B67,n0),5,1)-1),мил,2),"")&amp;INDEX(n_4,MID(TEXT(B67,n0),7,1)+1)&amp;INDEX(n1x,MID(TEXT(B67,n0),8,1)+1,MID(TEXT(B67,n0),9,1)+1)&amp;IF(-MID(TEXT(B67,n0),7,3),VLOOKUP(MID(TEXT(B67,n0),9,1)*AND(MID(TEXT(B67,n0),8,1)-1),тыс,2),"")&amp;INDEX(n_4,MID(TEXT(B67,n0),10,1)+1)&amp;INDEX(n0x,MID(TEXT(B67,n0),11,1)+1,MID(TEXT(B67,n0),12,1)+1)),"z"," ")&amp;IF(TRUNC(TEXT(B67,n0)),"","Ноль ")&amp;"рубл"&amp;VLOOKUP(MOD(MAX(MOD(MID(TEXT(B67,n0),11,2)-11,100),9),10),{0,"ь ";1,"я ";4,"ей "},2)&amp;RIGHT(TEXT(B67,n0),2)&amp;" копе"&amp;VLOOKUP(MOD(MAX(MOD(RIGHT(TEXT(B67,n0),2)-11,100),9),10),{0,"йка";1,"йки";4,"ек"},2)</f>
        <v>Ноль рублей 00 копеек</v>
      </c>
      <c r="E67" s="157"/>
      <c r="F67" s="157"/>
      <c r="G67" s="157"/>
      <c r="H67" s="131"/>
      <c r="I67" s="131"/>
      <c r="J67" s="131"/>
      <c r="K67" s="5"/>
      <c r="L67" s="5"/>
      <c r="N67" s="7"/>
      <c r="O67" s="8"/>
      <c r="P67" s="8"/>
    </row>
    <row r="68" spans="2:16" s="6" customFormat="1" ht="15.75">
      <c r="B68" s="132"/>
      <c r="C68" s="101"/>
      <c r="D68" s="130"/>
      <c r="E68" s="130"/>
      <c r="F68" s="130"/>
      <c r="G68" s="130"/>
      <c r="H68" s="130"/>
      <c r="I68" s="130"/>
      <c r="J68" s="130"/>
      <c r="K68" s="5"/>
      <c r="L68" s="5"/>
      <c r="N68" s="7"/>
      <c r="O68" s="8"/>
      <c r="P68" s="8"/>
    </row>
    <row r="69" spans="2:16" s="6" customFormat="1" ht="160.5" customHeight="1">
      <c r="B69" s="157" t="s">
        <v>107</v>
      </c>
      <c r="C69" s="157"/>
      <c r="D69" s="157"/>
      <c r="E69" s="157"/>
      <c r="F69" s="157"/>
      <c r="G69" s="157"/>
      <c r="H69" s="157"/>
      <c r="I69" s="157"/>
      <c r="J69" s="157"/>
      <c r="K69" s="5"/>
      <c r="L69" s="5"/>
      <c r="N69" s="7"/>
      <c r="O69" s="8"/>
      <c r="P69" s="8"/>
    </row>
    <row r="70" spans="2:16" s="6" customFormat="1" ht="39" customHeight="1">
      <c r="B70" s="136"/>
      <c r="C70" s="136"/>
      <c r="D70" s="136"/>
      <c r="E70" s="136"/>
      <c r="F70" s="136"/>
      <c r="G70" s="136"/>
      <c r="H70" s="136"/>
      <c r="I70" s="136"/>
      <c r="J70" s="136"/>
      <c r="K70" s="5"/>
      <c r="L70" s="5"/>
      <c r="N70" s="7"/>
      <c r="O70" s="8"/>
      <c r="P70" s="8"/>
    </row>
    <row r="71" spans="3:10" ht="15.75">
      <c r="C71" s="133" t="s">
        <v>97</v>
      </c>
      <c r="E71" s="133" t="s">
        <v>98</v>
      </c>
      <c r="F71" s="3"/>
      <c r="G71" s="4"/>
      <c r="H71" s="4"/>
      <c r="I71" s="4"/>
      <c r="J71" s="2"/>
    </row>
    <row r="72" spans="3:10" ht="15.75">
      <c r="C72" s="133"/>
      <c r="E72" s="133"/>
      <c r="F72" s="3"/>
      <c r="G72" s="4"/>
      <c r="H72" s="4"/>
      <c r="I72" s="4"/>
      <c r="J72" s="2"/>
    </row>
    <row r="73" spans="3:10" ht="29.25" customHeight="1">
      <c r="C73" s="134" t="s">
        <v>99</v>
      </c>
      <c r="E73" s="134" t="s">
        <v>99</v>
      </c>
      <c r="F73" s="3"/>
      <c r="G73" s="4"/>
      <c r="H73" s="4"/>
      <c r="I73" s="4"/>
      <c r="J73" s="2"/>
    </row>
    <row r="74" spans="3:10" ht="15.75">
      <c r="C74" s="133" t="s">
        <v>100</v>
      </c>
      <c r="E74" s="133"/>
      <c r="F74" s="3"/>
      <c r="G74" s="4"/>
      <c r="H74" s="4"/>
      <c r="I74" s="4"/>
      <c r="J74" s="2"/>
    </row>
    <row r="75" spans="3:10" ht="15.75">
      <c r="C75" s="135"/>
      <c r="E75" s="135"/>
      <c r="F75" s="3"/>
      <c r="G75" s="4"/>
      <c r="H75" s="4"/>
      <c r="I75" s="4"/>
      <c r="J75" s="2"/>
    </row>
    <row r="76" spans="4:10" ht="15">
      <c r="D76" s="6"/>
      <c r="J76" s="2"/>
    </row>
    <row r="77" spans="4:10" ht="15">
      <c r="D77" s="6"/>
      <c r="J77" s="2"/>
    </row>
  </sheetData>
  <sheetProtection/>
  <protectedRanges>
    <protectedRange sqref="D16:D17" name="Диапазон2_3"/>
    <protectedRange sqref="D18" name="Диапазон2_5"/>
    <protectedRange sqref="H56" name="Диапазон2_1_1"/>
    <protectedRange sqref="H23:H54" name="Диапазон2_6"/>
    <protectedRange sqref="J20 H21:H22" name="Диапазон2"/>
    <protectedRange sqref="D15" name="Диапазон2_8"/>
  </protectedRanges>
  <mergeCells count="19">
    <mergeCell ref="B66:E66"/>
    <mergeCell ref="F66:G66"/>
    <mergeCell ref="B67:C67"/>
    <mergeCell ref="D67:G67"/>
    <mergeCell ref="B69:J69"/>
    <mergeCell ref="F19:G19"/>
    <mergeCell ref="C42:C43"/>
    <mergeCell ref="D42:D43"/>
    <mergeCell ref="C44:C46"/>
    <mergeCell ref="C49:C50"/>
    <mergeCell ref="C51:C52"/>
    <mergeCell ref="C53:C54"/>
    <mergeCell ref="C21:C25"/>
    <mergeCell ref="C26:C27"/>
    <mergeCell ref="D26:D27"/>
    <mergeCell ref="C36:C37"/>
    <mergeCell ref="D36:D37"/>
    <mergeCell ref="C38:C39"/>
    <mergeCell ref="D38:D39"/>
  </mergeCells>
  <conditionalFormatting sqref="C26:C27 A24 D76:J77 G16:G18 E18:E19 H16:I16 H14:I14">
    <cfRule type="containsText" priority="44" dxfId="46" operator="containsText" stopIfTrue="1" text="любой">
      <formula>NOT(ISERROR(SEARCH("любой",A14)))</formula>
    </cfRule>
  </conditionalFormatting>
  <conditionalFormatting sqref="C21">
    <cfRule type="containsText" priority="43" dxfId="46" operator="containsText" stopIfTrue="1" text="любой">
      <formula>NOT(ISERROR(SEARCH("любой",C21)))</formula>
    </cfRule>
  </conditionalFormatting>
  <conditionalFormatting sqref="A16:D17 A12:A13 A14:B14 A18:C18">
    <cfRule type="containsText" priority="42" dxfId="46" operator="containsText" stopIfTrue="1" text="любой">
      <formula>NOT(ISERROR(SEARCH("любой",A12)))</formula>
    </cfRule>
  </conditionalFormatting>
  <conditionalFormatting sqref="A76:B77">
    <cfRule type="containsText" priority="41" dxfId="46" operator="containsText" stopIfTrue="1" text="любой">
      <formula>NOT(ISERROR(SEARCH("любой",A76)))</formula>
    </cfRule>
  </conditionalFormatting>
  <conditionalFormatting sqref="C14">
    <cfRule type="containsText" priority="40" dxfId="46" operator="containsText" stopIfTrue="1" text="любой">
      <formula>NOT(ISERROR(SEARCH("любой",C14)))</formula>
    </cfRule>
  </conditionalFormatting>
  <conditionalFormatting sqref="D14">
    <cfRule type="containsText" priority="39" dxfId="46" operator="containsText" stopIfTrue="1" text="любой">
      <formula>NOT(ISERROR(SEARCH("любой",D14)))</formula>
    </cfRule>
  </conditionalFormatting>
  <conditionalFormatting sqref="A15:C15 G15:H15">
    <cfRule type="containsText" priority="38" dxfId="46" operator="containsText" stopIfTrue="1" text="любой">
      <formula>NOT(ISERROR(SEARCH("любой",A15)))</formula>
    </cfRule>
  </conditionalFormatting>
  <conditionalFormatting sqref="B55">
    <cfRule type="containsText" priority="36" dxfId="46" operator="containsText" stopIfTrue="1" text="любой">
      <formula>NOT(ISERROR(SEARCH("любой",B55)))</formula>
    </cfRule>
  </conditionalFormatting>
  <conditionalFormatting sqref="D55">
    <cfRule type="containsText" priority="37" dxfId="46" operator="containsText" stopIfTrue="1" text="любой">
      <formula>NOT(ISERROR(SEARCH("любой",D55)))</formula>
    </cfRule>
  </conditionalFormatting>
  <conditionalFormatting sqref="H56">
    <cfRule type="containsText" priority="35" dxfId="46" operator="containsText" stopIfTrue="1" text="любой">
      <formula>NOT(ISERROR(SEARCH("любой",H56)))</formula>
    </cfRule>
  </conditionalFormatting>
  <conditionalFormatting sqref="D18">
    <cfRule type="containsText" priority="34" dxfId="46" operator="containsText" stopIfTrue="1" text="любой">
      <formula>NOT(ISERROR(SEARCH("любой",D18)))</formula>
    </cfRule>
  </conditionalFormatting>
  <conditionalFormatting sqref="J56">
    <cfRule type="cellIs" priority="33" dxfId="46" operator="greaterThan" stopIfTrue="1">
      <formula>0</formula>
    </cfRule>
  </conditionalFormatting>
  <conditionalFormatting sqref="D15">
    <cfRule type="expression" priority="32" dxfId="4" stopIfTrue="1">
      <formula>$D$15="Лак/Патина"</formula>
    </cfRule>
  </conditionalFormatting>
  <conditionalFormatting sqref="J24:J27 J29:J38 J40:J43 I24:I43 I45:I54 J45:J53 I44:J44">
    <cfRule type="cellIs" priority="31" dxfId="47" operator="greaterThan" stopIfTrue="1">
      <formula>0</formula>
    </cfRule>
  </conditionalFormatting>
  <conditionalFormatting sqref="E21 E25:E27 E23 H24:H54 E29:E54">
    <cfRule type="expression" priority="28" dxfId="47" stopIfTrue="1">
      <formula>$H21&gt;0</formula>
    </cfRule>
  </conditionalFormatting>
  <conditionalFormatting sqref="G21 G24:G54">
    <cfRule type="expression" priority="27" dxfId="1" stopIfTrue="1">
      <formula>$D$15="Стандарт"</formula>
    </cfRule>
    <cfRule type="expression" priority="30" dxfId="47" stopIfTrue="1">
      <formula>$H21&gt;0</formula>
    </cfRule>
  </conditionalFormatting>
  <conditionalFormatting sqref="E24">
    <cfRule type="expression" priority="29" dxfId="47" stopIfTrue="1">
      <formula>$H24&gt;0</formula>
    </cfRule>
  </conditionalFormatting>
  <conditionalFormatting sqref="G24:G44">
    <cfRule type="expression" priority="26" dxfId="4" stopIfTrue="1">
      <formula>$D$15=$F$12</formula>
    </cfRule>
  </conditionalFormatting>
  <conditionalFormatting sqref="F24:F44">
    <cfRule type="expression" priority="25" dxfId="3" stopIfTrue="1">
      <formula>$D$15=$E$12</formula>
    </cfRule>
  </conditionalFormatting>
  <conditionalFormatting sqref="E22">
    <cfRule type="expression" priority="24" dxfId="47" stopIfTrue="1">
      <formula>$H22&gt;0</formula>
    </cfRule>
  </conditionalFormatting>
  <conditionalFormatting sqref="J28 J39 J54">
    <cfRule type="cellIs" priority="23" dxfId="47" operator="greaterThan" stopIfTrue="1">
      <formula>0</formula>
    </cfRule>
  </conditionalFormatting>
  <conditionalFormatting sqref="F39:F40">
    <cfRule type="expression" priority="22" dxfId="3" stopIfTrue="1">
      <formula>$D$15=$E$12</formula>
    </cfRule>
  </conditionalFormatting>
  <conditionalFormatting sqref="E28">
    <cfRule type="expression" priority="21" dxfId="47" stopIfTrue="1">
      <formula>$H28&gt;0</formula>
    </cfRule>
  </conditionalFormatting>
  <conditionalFormatting sqref="E55">
    <cfRule type="containsText" priority="20" dxfId="46" operator="containsText" stopIfTrue="1" text="любой">
      <formula>NOT(ISERROR(SEARCH("любой",E55)))</formula>
    </cfRule>
  </conditionalFormatting>
  <conditionalFormatting sqref="E56">
    <cfRule type="expression" priority="18" dxfId="1" stopIfTrue="1">
      <formula>Люкс!#REF!&gt;=600000</formula>
    </cfRule>
    <cfRule type="expression" priority="19" dxfId="16" stopIfTrue="1">
      <formula>Люкс!#REF!&gt;=300000</formula>
    </cfRule>
  </conditionalFormatting>
  <conditionalFormatting sqref="F56:G56">
    <cfRule type="containsText" priority="17" dxfId="46" operator="containsText" stopIfTrue="1" text="любой">
      <formula>NOT(ISERROR(SEARCH("любой",F56)))</formula>
    </cfRule>
  </conditionalFormatting>
  <conditionalFormatting sqref="E57">
    <cfRule type="expression" priority="15" dxfId="1" stopIfTrue="1">
      <formula>Люкс!#REF!&gt;=900000</formula>
    </cfRule>
    <cfRule type="expression" priority="16" dxfId="16" stopIfTrue="1">
      <formula>Люкс!#REF!&gt;=600000</formula>
    </cfRule>
  </conditionalFormatting>
  <conditionalFormatting sqref="E58">
    <cfRule type="expression" priority="13" dxfId="1" stopIfTrue="1">
      <formula>Люкс!#REF!&gt;=1200000</formula>
    </cfRule>
    <cfRule type="expression" priority="14" dxfId="13" stopIfTrue="1">
      <formula>Люкс!#REF!&gt;=900000</formula>
    </cfRule>
  </conditionalFormatting>
  <conditionalFormatting sqref="E59">
    <cfRule type="expression" priority="12" dxfId="13" stopIfTrue="1">
      <formula>Люкс!#REF!&gt;=1200000</formula>
    </cfRule>
  </conditionalFormatting>
  <conditionalFormatting sqref="D56:D58">
    <cfRule type="containsText" priority="11" dxfId="46" operator="containsText" stopIfTrue="1" text="любой">
      <formula>NOT(ISERROR(SEARCH("любой",D56)))</formula>
    </cfRule>
  </conditionalFormatting>
  <conditionalFormatting sqref="G45:G54">
    <cfRule type="expression" priority="10" dxfId="4" stopIfTrue="1">
      <formula>$D$15=$F$12</formula>
    </cfRule>
  </conditionalFormatting>
  <conditionalFormatting sqref="F45:F54">
    <cfRule type="expression" priority="9" dxfId="3" stopIfTrue="1">
      <formula>$D$15=$E$12</formula>
    </cfRule>
  </conditionalFormatting>
  <conditionalFormatting sqref="I21:J23">
    <cfRule type="cellIs" priority="8" dxfId="47" operator="greaterThan" stopIfTrue="1">
      <formula>0</formula>
    </cfRule>
  </conditionalFormatting>
  <conditionalFormatting sqref="H21:H23">
    <cfRule type="expression" priority="7" dxfId="47" stopIfTrue="1">
      <formula>$H21&gt;0</formula>
    </cfRule>
  </conditionalFormatting>
  <conditionalFormatting sqref="I20">
    <cfRule type="expression" priority="6" dxfId="0" stopIfTrue="1">
      <formula>$E$15="Антик  лак/патина"</formula>
    </cfRule>
  </conditionalFormatting>
  <conditionalFormatting sqref="G20:G21 G23:G54">
    <cfRule type="expression" priority="5" dxfId="4" stopIfTrue="1">
      <formula>$D$15=$G$20</formula>
    </cfRule>
  </conditionalFormatting>
  <conditionalFormatting sqref="F20:F21 F23:F54">
    <cfRule type="expression" priority="4" dxfId="3" stopIfTrue="1">
      <formula>$D$15=$F$20</formula>
    </cfRule>
  </conditionalFormatting>
  <conditionalFormatting sqref="G22">
    <cfRule type="expression" priority="3" dxfId="4" stopIfTrue="1">
      <formula>$D$15=$G$20</formula>
    </cfRule>
  </conditionalFormatting>
  <conditionalFormatting sqref="F22">
    <cfRule type="expression" priority="2" dxfId="3" stopIfTrue="1">
      <formula>$D$15=$F$20</formula>
    </cfRule>
  </conditionalFormatting>
  <conditionalFormatting sqref="H67:J67">
    <cfRule type="containsText" priority="1" dxfId="46" operator="containsText" stopIfTrue="1" text="любой">
      <formula>NOT(ISERROR(SEARCH("любой",H67)))</formula>
    </cfRule>
  </conditionalFormatting>
  <conditionalFormatting sqref="F21:F54">
    <cfRule type="expression" priority="45" dxfId="1" stopIfTrue="1">
      <formula>$D$15=$G$20</formula>
    </cfRule>
    <cfRule type="expression" priority="46" dxfId="47" stopIfTrue="1">
      <formula>$H21&gt;0</formula>
    </cfRule>
  </conditionalFormatting>
  <dataValidations count="1">
    <dataValidation type="list" allowBlank="1" showInputMessage="1" showErrorMessage="1" sqref="D15">
      <formula1>$F$20:$G$20</formula1>
    </dataValidation>
  </dataValidations>
  <hyperlinks>
    <hyperlink ref="J8" r:id="rId1" display="                www.mebel-land.com"/>
  </hyperlinks>
  <printOptions/>
  <pageMargins left="0.5118110236220472" right="0.31496062992125984" top="0.15748031496062992" bottom="0.15748031496062992" header="0.31496062992125984" footer="0.31496062992125984"/>
  <pageSetup fitToHeight="0" fitToWidth="1" horizontalDpi="600" verticalDpi="600" orientation="portrait" paperSize="9" scale="5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2021-12-07T11:28:12Z</cp:lastPrinted>
  <dcterms:created xsi:type="dcterms:W3CDTF">2021-12-07T11:15:51Z</dcterms:created>
  <dcterms:modified xsi:type="dcterms:W3CDTF">2022-09-20T09:30:24Z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